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Challenger Homes Inc\CO, Falcon - CLH000023 - FM at Bent Grass DC\0CIV\Drain Reports\Channel Rpt\PDF Parts\0_Fee Summary\"/>
    </mc:Choice>
  </mc:AlternateContent>
  <xr:revisionPtr revIDLastSave="0" documentId="8_{FF756623-FE4F-421D-B5FE-52076547E204}" xr6:coauthVersionLast="47" xr6:coauthVersionMax="47" xr10:uidLastSave="{00000000-0000-0000-0000-000000000000}"/>
  <bookViews>
    <workbookView xWindow="-120" yWindow="-120" windowWidth="29040" windowHeight="15840" firstSheet="3" activeTab="7" xr2:uid="{6D4F6779-2684-4A3B-B162-F235FEA31ECF}"/>
  </bookViews>
  <sheets>
    <sheet name="Drainage &amp; Bridge Fees (BGF2)" sheetId="5" r:id="rId1"/>
    <sheet name="Drainage &amp; Bridge Fees (F1)" sheetId="4" r:id="rId2"/>
    <sheet name="Drainage &amp; Bridge Fees (F2)" sheetId="3" r:id="rId3"/>
    <sheet name="Drainage &amp; Bridge Fees (F3)" sheetId="2" r:id="rId4"/>
    <sheet name="Drainage &amp; Bridge Fees (F4)" sheetId="6" r:id="rId5"/>
    <sheet name="Fee Offset Summary" sheetId="1" r:id="rId6"/>
    <sheet name="Eligible Offsets (DBPS)" sheetId="8" r:id="rId7"/>
    <sheet name="Final Comparison Table" sheetId="9" r:id="rId8"/>
  </sheets>
  <definedNames>
    <definedName name="_xlnm.Print_Area" localSheetId="0">'Drainage &amp; Bridge Fees (BGF2)'!$B$2:$O$7</definedName>
    <definedName name="_xlnm.Print_Area" localSheetId="1">'Drainage &amp; Bridge Fees (F1)'!$B$2:$O$8</definedName>
    <definedName name="_xlnm.Print_Area" localSheetId="2">'Drainage &amp; Bridge Fees (F2)'!$B$2:$O$8</definedName>
    <definedName name="_xlnm.Print_Area" localSheetId="3">'Drainage &amp; Bridge Fees (F3)'!$B$2:$O$8</definedName>
    <definedName name="_xlnm.Print_Area" localSheetId="4">'Drainage &amp; Bridge Fees (F4)'!$B$2:$O$8</definedName>
    <definedName name="_xlnm.Print_Area" localSheetId="6">'Eligible Offsets (DBPS)'!$B$2:$J$33</definedName>
    <definedName name="_xlnm.Print_Area" localSheetId="5">'Fee Offset Summary'!$B$2:$I$26</definedName>
    <definedName name="_xlnm.Print_Area" localSheetId="7">'Final Comparison Table'!$B$2:$D$17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8" l="1"/>
  <c r="H24" i="1"/>
  <c r="G24" i="1"/>
  <c r="E24" i="1"/>
  <c r="H23" i="1"/>
  <c r="G23" i="1"/>
  <c r="E23" i="1"/>
  <c r="J28" i="8"/>
  <c r="J21" i="8"/>
  <c r="J14" i="8"/>
  <c r="B3" i="9" l="1"/>
  <c r="B3" i="8"/>
  <c r="K7" i="6"/>
  <c r="G7" i="6"/>
  <c r="D19" i="1" s="1"/>
  <c r="F19" i="1" s="1"/>
  <c r="G6" i="6"/>
  <c r="D18" i="1" s="1"/>
  <c r="F18" i="1" s="1"/>
  <c r="D15" i="1"/>
  <c r="F15" i="1" s="1"/>
  <c r="D14" i="1"/>
  <c r="F14" i="1" s="1"/>
  <c r="G7" i="5"/>
  <c r="M7" i="5" s="1"/>
  <c r="K7" i="4" s="1"/>
  <c r="G6" i="5"/>
  <c r="M6" i="5" s="1"/>
  <c r="K6" i="4" s="1"/>
  <c r="G7" i="4"/>
  <c r="D13" i="1" s="1"/>
  <c r="F13" i="1" s="1"/>
  <c r="G6" i="4"/>
  <c r="D12" i="1" s="1"/>
  <c r="F12" i="1" s="1"/>
  <c r="G7" i="3"/>
  <c r="G6" i="3"/>
  <c r="C11" i="9"/>
  <c r="C7" i="9"/>
  <c r="F20" i="1"/>
  <c r="G7" i="2"/>
  <c r="G6" i="2"/>
  <c r="O6" i="2" s="1"/>
  <c r="B3" i="1"/>
  <c r="G7" i="1"/>
  <c r="E10" i="1"/>
  <c r="E9" i="1"/>
  <c r="E8" i="1"/>
  <c r="J23" i="8" l="1"/>
  <c r="J22" i="8"/>
  <c r="J30" i="8"/>
  <c r="J29" i="8"/>
  <c r="J31" i="8" s="1"/>
  <c r="J16" i="8"/>
  <c r="J15" i="8"/>
  <c r="J9" i="8"/>
  <c r="J8" i="8"/>
  <c r="M7" i="6"/>
  <c r="D11" i="1"/>
  <c r="F11" i="1" s="1"/>
  <c r="D7" i="1"/>
  <c r="F7" i="1" s="1"/>
  <c r="M7" i="4"/>
  <c r="K7" i="3" s="1"/>
  <c r="M7" i="3" s="1"/>
  <c r="K7" i="2" s="1"/>
  <c r="M7" i="2" s="1"/>
  <c r="M6" i="4"/>
  <c r="K6" i="3" s="1"/>
  <c r="M6" i="3" s="1"/>
  <c r="D16" i="1"/>
  <c r="D23" i="1" s="1"/>
  <c r="D17" i="1"/>
  <c r="D24" i="1" s="1"/>
  <c r="J24" i="8" l="1"/>
  <c r="J17" i="8"/>
  <c r="D11" i="9" s="1"/>
  <c r="J10" i="8"/>
  <c r="D7" i="9" s="1"/>
  <c r="H7" i="1"/>
  <c r="K6" i="2"/>
  <c r="K6" i="6" s="1"/>
  <c r="O6" i="6" s="1"/>
  <c r="B11" i="9"/>
  <c r="F17" i="1"/>
  <c r="F24" i="1" s="1"/>
  <c r="F16" i="1"/>
  <c r="F23" i="1" s="1"/>
  <c r="B7" i="9"/>
</calcChain>
</file>

<file path=xl/sharedStrings.xml><?xml version="1.0" encoding="utf-8"?>
<sst xmlns="http://schemas.openxmlformats.org/spreadsheetml/2006/main" count="200" uniqueCount="69">
  <si>
    <t>Drainage Fee</t>
  </si>
  <si>
    <t>Bridge Fee</t>
  </si>
  <si>
    <t>Remaining Credit</t>
  </si>
  <si>
    <t>Construction Complete?</t>
  </si>
  <si>
    <t>Total Fee from                     Final Drainage Report</t>
  </si>
  <si>
    <t>Collateral &amp; Credit from Actual Construction Costs</t>
  </si>
  <si>
    <t>Project Name</t>
  </si>
  <si>
    <t>Fee Type</t>
  </si>
  <si>
    <t>Falcon Meadows at Bent Grass Filing No. 1 (SF-21-020)</t>
  </si>
  <si>
    <t>Total:</t>
  </si>
  <si>
    <t>Collateral &amp; Credit Summary - Bent Grass Development</t>
  </si>
  <si>
    <t>Construction Costs Spent To-Date on Collateral Improvements</t>
  </si>
  <si>
    <t>NO</t>
  </si>
  <si>
    <t>Collateral &amp; Fee Offsets from Financial Assurance Estimate</t>
  </si>
  <si>
    <t>Remaining Fee Offsets</t>
  </si>
  <si>
    <t>Total Collateral from                                                 Financial Assurance Estimate</t>
  </si>
  <si>
    <t>Bent Grass Residential                                                 Filing No. 2 (SF-19-014)</t>
  </si>
  <si>
    <t>Impervious Area (acres)</t>
  </si>
  <si>
    <t>Fee Per Impervious Acre</t>
  </si>
  <si>
    <t>Total Fee</t>
  </si>
  <si>
    <t>Total Collateral from FAE</t>
  </si>
  <si>
    <t>Remaining Fee Offset</t>
  </si>
  <si>
    <t>Fee Due at Platting</t>
  </si>
  <si>
    <t>2021 Original Drainage and Bridge Fees</t>
  </si>
  <si>
    <t>OR</t>
  </si>
  <si>
    <t>FALCON DRAINAGE BASIN</t>
  </si>
  <si>
    <t>*</t>
  </si>
  <si>
    <t>=</t>
  </si>
  <si>
    <t>+</t>
  </si>
  <si>
    <t>Remaining Fee Offset from Previous Filings</t>
  </si>
  <si>
    <t>) =</t>
  </si>
  <si>
    <t>- (</t>
  </si>
  <si>
    <t>2019 Original Drainage and Bridge Fees</t>
  </si>
  <si>
    <t>Falcon Meadows at Bent Grass Filing No. 3 (SF-22-016)</t>
  </si>
  <si>
    <t>Falcon Meadows at Bent Grass Filing No. 2 (SF-21-034)</t>
  </si>
  <si>
    <t>2022 Original Drainage and Bridge Fees</t>
  </si>
  <si>
    <t>Falcon DBPS - Eligible Collateral - Bent Grass Development</t>
  </si>
  <si>
    <t>Improvement</t>
  </si>
  <si>
    <t>Cost (As Shown on Falcon DBPS)</t>
  </si>
  <si>
    <t>Engineering/Construction Admin (15%)</t>
  </si>
  <si>
    <t>Contingency (20%)</t>
  </si>
  <si>
    <t>Ultimate Reimbursement</t>
  </si>
  <si>
    <t>RWT210 - Natural Channel Design</t>
  </si>
  <si>
    <t>Cost (Present Value)</t>
  </si>
  <si>
    <t>(</t>
  </si>
  <si>
    <t>DRAINAGE FEES</t>
  </si>
  <si>
    <t>BRIDGE FEES</t>
  </si>
  <si>
    <t>-</t>
  </si>
  <si>
    <t>DEVELOPER COSTS</t>
  </si>
  <si>
    <t>METROPOLITAN DISTRICT COSTS</t>
  </si>
  <si>
    <t>Regional Pond WU South</t>
  </si>
  <si>
    <t>Pond WU Inlet Structure</t>
  </si>
  <si>
    <t>Metropolian District Costs are not eligible for financial reimbursement. If the developer wishes to be reimbursed for the associated construction improvements of Pond WU, an amendment to the DBPS must be completed.</t>
  </si>
  <si>
    <t>Final Comparison Table</t>
  </si>
  <si>
    <t>Total Collateral Requested from                                                 Financial Assurance Estimate's</t>
  </si>
  <si>
    <t>Total Eligible Reimbursement Cost As Specified in Falcon DBPS</t>
  </si>
  <si>
    <t>Total Fee As Specified in the Approved FDR's</t>
  </si>
  <si>
    <r>
      <t>Bridge Fee:</t>
    </r>
    <r>
      <rPr>
        <b/>
        <sz val="11"/>
        <color rgb="FFFF0000"/>
        <rFont val="Calibri"/>
        <family val="2"/>
        <scheme val="minor"/>
      </rPr>
      <t xml:space="preserve"> (Needs Action)</t>
    </r>
  </si>
  <si>
    <t>(SF-19-014) Bent Grass Residential Filing No. 2 - Final Drainage Report</t>
  </si>
  <si>
    <t>(SF-21-020) Falcon Meadows at Bent Grass Filing No. 1 - Final Drainage Report</t>
  </si>
  <si>
    <t>(SF-21-034) Falcon Meadows at Bent Grass Filing No. 2 - Final Drainage Report</t>
  </si>
  <si>
    <t>(SF-22-016) Falcon Meadows at Bent Grass Filing No. 3 - Final Drainage Report</t>
  </si>
  <si>
    <t>Inflation Factor</t>
  </si>
  <si>
    <t>FM at BG Drainage Channel (CDR-21-014)</t>
  </si>
  <si>
    <r>
      <t xml:space="preserve">Drainage Fee: </t>
    </r>
    <r>
      <rPr>
        <b/>
        <sz val="11"/>
        <color rgb="FFFF0000"/>
        <rFont val="Calibri"/>
        <family val="2"/>
        <scheme val="minor"/>
      </rPr>
      <t>(Needs Action)</t>
    </r>
  </si>
  <si>
    <t>The "Total Collateral Requested from all Financial Assurance Estimate's" is greater then the "Total Fee As Specified in the Approved FDR's" for all 4 filings of Falcon Meadows at Bent Grass and Bent Grass Residential Filing No. 2. However, the "Total Eligible Reimbursement Cost As Specified in the Falcon DBPS" is less than the "Total Fee As Specified in the Approved FDR's". Therefore, the Developer will need approval from the drainage board to amend the costs specified in the DBPS.</t>
  </si>
  <si>
    <t>Note: The collateral provided previously for channel construction is to be updated to the value provided with CDR-21-014</t>
  </si>
  <si>
    <t>Falcon Meadows at Bent Grass Filing No. 4 (SF-22-023)</t>
  </si>
  <si>
    <t>(SF-22-023) Falcon Meadows at Bent Grass Filing No. 4 - Final Drainage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</si>
</sst>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i/>
      <sz val="11"/>
      <color rgb="FFAA0061"/>
      <name val="Calibri"/>
      <family val="2"/>
      <scheme val="minor"/>
    </font>
    <font>
      <b/>
      <sz val="11"/>
      <name val="Calibri"/>
      <family val="2"/>
      <scheme val="minor"/>
    </font>
    <font>
      <i/>
      <sz val="11"/>
      <color rgb="FFFF0000"/>
      <name val="Calibri"/>
      <family val="2"/>
      <scheme val="minor"/>
    </font>
    <font>
      <i/>
      <sz val="10.5"/>
      <name val="Calibri"/>
      <family val="2"/>
      <scheme val="minor"/>
    </font>
    <font>
      <i/>
      <sz val="11"/>
      <name val="Calibri"/>
      <family val="2"/>
      <scheme val="minor"/>
    </font>
    <font>
      <sz val="11"/>
      <color rgb="FFFF0000"/>
      <name val="Calibri"/>
      <family val="2"/>
      <scheme val="minor"/>
    </font>
    <font>
      <b/>
      <sz val="18"/>
      <color theme="0"/>
      <name val="Roboto Condensed"/>
    </font>
    <font>
      <b/>
      <sz val="11"/>
      <color theme="0"/>
      <name val="Roboto Condensed"/>
    </font>
    <font>
      <b/>
      <i/>
      <sz val="11"/>
      <color theme="0"/>
      <name val="Roboto Condensed"/>
    </font>
    <font>
      <sz val="11"/>
      <color rgb="FF00B050"/>
      <name val="Calibri"/>
      <family val="2"/>
      <scheme val="minor"/>
    </font>
    <font>
      <i/>
      <sz val="9"/>
      <color theme="1"/>
      <name val="Calibri"/>
      <family val="2"/>
      <scheme val="minor"/>
    </font>
    <font>
      <b/>
      <sz val="11"/>
      <color rgb="FFAA0061"/>
      <name val="Calibri"/>
      <family val="2"/>
      <scheme val="minor"/>
    </font>
    <font>
      <i/>
      <sz val="10"/>
      <color theme="1"/>
      <name val="Calibri"/>
      <family val="2"/>
      <scheme val="minor"/>
    </font>
    <font>
      <i/>
      <sz val="10"/>
      <color rgb="FF027278"/>
      <name val="Calibri"/>
      <family val="2"/>
      <scheme val="minor"/>
    </font>
    <font>
      <sz val="11"/>
      <color rgb="FFAA0061"/>
      <name val="Calibri"/>
      <family val="2"/>
      <scheme val="minor"/>
    </font>
    <font>
      <b/>
      <sz val="11"/>
      <color rgb="FFFF0000"/>
      <name val="Calibri"/>
      <family val="2"/>
      <scheme val="minor"/>
    </font>
    <font>
      <i/>
      <sz val="11"/>
      <color theme="1"/>
      <name val="Calibri"/>
      <family val="2"/>
      <scheme val="minor"/>
    </font>
  </fonts>
  <fills count="5">
    <fill>
      <patternFill patternType="none"/>
    </fill>
    <fill>
      <patternFill patternType="gray125"/>
    </fill>
    <fill>
      <patternFill patternType="solid">
        <fgColor rgb="FF027278"/>
        <bgColor indexed="64"/>
      </patternFill>
    </fill>
    <fill>
      <patternFill patternType="solid">
        <fgColor rgb="FFFFA7A7"/>
        <bgColor indexed="64"/>
      </patternFill>
    </fill>
    <fill>
      <patternFill patternType="solid">
        <fgColor theme="9" tint="0.59999389629810485"/>
        <bgColor indexed="64"/>
      </patternFill>
    </fill>
  </fills>
  <borders count="5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027278"/>
      </left>
      <right style="thick">
        <color rgb="FF027278"/>
      </right>
      <top style="thick">
        <color rgb="FF027278"/>
      </top>
      <bottom/>
      <diagonal/>
    </border>
    <border>
      <left style="thick">
        <color rgb="FF027278"/>
      </left>
      <right style="thick">
        <color rgb="FF027278"/>
      </right>
      <top/>
      <bottom style="thick">
        <color rgb="FF02727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2" fillId="0" borderId="5" xfId="0" applyFont="1" applyBorder="1" applyAlignment="1">
      <alignment horizontal="right"/>
    </xf>
    <xf numFmtId="44" fontId="0" fillId="0" borderId="6" xfId="1" applyFont="1" applyBorder="1"/>
    <xf numFmtId="44" fontId="0" fillId="0" borderId="7" xfId="1" applyFont="1" applyBorder="1"/>
    <xf numFmtId="0" fontId="2" fillId="0" borderId="0" xfId="0" applyFont="1" applyAlignment="1">
      <alignment horizontal="right"/>
    </xf>
    <xf numFmtId="0" fontId="2" fillId="0" borderId="10" xfId="0" applyFont="1" applyBorder="1" applyAlignment="1">
      <alignment horizontal="right"/>
    </xf>
    <xf numFmtId="44" fontId="0" fillId="0" borderId="11" xfId="1" applyFont="1" applyBorder="1"/>
    <xf numFmtId="44" fontId="0" fillId="0" borderId="12" xfId="1" applyFont="1" applyBorder="1"/>
    <xf numFmtId="0" fontId="2" fillId="0" borderId="2" xfId="0" applyFont="1" applyBorder="1" applyAlignment="1">
      <alignment horizontal="right"/>
    </xf>
    <xf numFmtId="44" fontId="0" fillId="0" borderId="3" xfId="1" applyFont="1" applyBorder="1"/>
    <xf numFmtId="44" fontId="0" fillId="0" borderId="1" xfId="1" applyFont="1" applyBorder="1"/>
    <xf numFmtId="0" fontId="2" fillId="0" borderId="14" xfId="0" applyFont="1" applyBorder="1" applyAlignment="1">
      <alignment horizontal="right"/>
    </xf>
    <xf numFmtId="44" fontId="0" fillId="0" borderId="15" xfId="1" applyFont="1" applyBorder="1"/>
    <xf numFmtId="44" fontId="0" fillId="0" borderId="16" xfId="1" applyFont="1" applyBorder="1"/>
    <xf numFmtId="0" fontId="2" fillId="0" borderId="15" xfId="0" applyFont="1" applyBorder="1" applyAlignment="1">
      <alignment horizontal="center" vertical="center" wrapText="1"/>
    </xf>
    <xf numFmtId="44" fontId="0" fillId="0" borderId="22" xfId="1" applyFont="1" applyBorder="1"/>
    <xf numFmtId="0" fontId="2" fillId="0" borderId="14"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44" fontId="0" fillId="0" borderId="21" xfId="1" applyFont="1" applyBorder="1"/>
    <xf numFmtId="44" fontId="0" fillId="0" borderId="20" xfId="1" applyFont="1" applyBorder="1" applyAlignment="1">
      <alignment horizontal="center"/>
    </xf>
    <xf numFmtId="0" fontId="2" fillId="0" borderId="23" xfId="0" applyFont="1" applyBorder="1" applyAlignment="1">
      <alignment horizontal="right"/>
    </xf>
    <xf numFmtId="0" fontId="2" fillId="0" borderId="13" xfId="0" applyFont="1" applyBorder="1" applyAlignment="1">
      <alignment horizontal="center" vertical="center"/>
    </xf>
    <xf numFmtId="44" fontId="0" fillId="0" borderId="20" xfId="1" applyFont="1" applyBorder="1" applyAlignment="1">
      <alignment vertical="top"/>
    </xf>
    <xf numFmtId="44" fontId="5" fillId="0" borderId="17" xfId="1" applyFont="1" applyBorder="1" applyAlignment="1">
      <alignment vertical="top"/>
    </xf>
    <xf numFmtId="44" fontId="6" fillId="0" borderId="17" xfId="1" applyFont="1" applyBorder="1" applyAlignment="1">
      <alignment horizontal="right"/>
    </xf>
    <xf numFmtId="44" fontId="6" fillId="0" borderId="9" xfId="1" applyFont="1" applyBorder="1" applyAlignment="1">
      <alignment horizontal="right"/>
    </xf>
    <xf numFmtId="44" fontId="7" fillId="0" borderId="9" xfId="1" applyFont="1" applyBorder="1" applyAlignment="1">
      <alignment vertical="top"/>
    </xf>
    <xf numFmtId="0" fontId="2" fillId="0" borderId="32" xfId="0" applyFont="1" applyBorder="1"/>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center"/>
    </xf>
    <xf numFmtId="0" fontId="2" fillId="0" borderId="37" xfId="0" applyFont="1" applyBorder="1" applyAlignment="1">
      <alignment horizontal="center" vertical="center" wrapText="1"/>
    </xf>
    <xf numFmtId="0" fontId="2" fillId="0" borderId="37" xfId="0" applyFont="1" applyBorder="1"/>
    <xf numFmtId="0" fontId="2" fillId="0" borderId="39" xfId="0" quotePrefix="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4" fontId="0" fillId="0" borderId="28" xfId="1" applyFont="1" applyBorder="1" applyAlignment="1">
      <alignment horizontal="center" vertical="center"/>
    </xf>
    <xf numFmtId="44" fontId="0" fillId="0" borderId="34" xfId="1" applyFont="1" applyBorder="1" applyAlignment="1">
      <alignment horizontal="center" vertical="center"/>
    </xf>
    <xf numFmtId="44" fontId="0" fillId="0" borderId="26" xfId="1" applyFont="1" applyBorder="1" applyAlignment="1">
      <alignment horizontal="center" vertical="center"/>
    </xf>
    <xf numFmtId="44" fontId="0" fillId="0" borderId="27" xfId="1" applyFont="1" applyBorder="1" applyAlignment="1">
      <alignment horizontal="center" vertical="center"/>
    </xf>
    <xf numFmtId="44" fontId="12" fillId="0" borderId="26" xfId="1" applyFont="1" applyBorder="1" applyAlignment="1">
      <alignment horizontal="center" vertical="center"/>
    </xf>
    <xf numFmtId="44" fontId="8" fillId="0" borderId="28" xfId="1" applyFont="1" applyBorder="1" applyAlignment="1">
      <alignment horizontal="center" vertical="center"/>
    </xf>
    <xf numFmtId="44" fontId="0" fillId="0" borderId="8" xfId="1" applyFont="1" applyBorder="1"/>
    <xf numFmtId="44" fontId="0" fillId="0" borderId="4" xfId="1" applyFont="1" applyBorder="1"/>
    <xf numFmtId="0" fontId="2" fillId="0" borderId="33" xfId="0" applyFont="1" applyBorder="1"/>
    <xf numFmtId="0" fontId="0" fillId="0" borderId="36" xfId="0" applyBorder="1" applyAlignment="1">
      <alignment horizontal="center" vertical="center"/>
    </xf>
    <xf numFmtId="0" fontId="0" fillId="0" borderId="41" xfId="0" applyBorder="1" applyAlignment="1">
      <alignment horizontal="center" vertical="center"/>
    </xf>
    <xf numFmtId="44" fontId="0" fillId="0" borderId="35" xfId="1" applyFont="1" applyBorder="1" applyAlignment="1">
      <alignment horizontal="center" vertical="center"/>
    </xf>
    <xf numFmtId="0" fontId="0" fillId="0" borderId="31" xfId="0" applyBorder="1" applyAlignment="1">
      <alignment horizontal="center" vertical="center"/>
    </xf>
    <xf numFmtId="44" fontId="0" fillId="0" borderId="33" xfId="1" applyFont="1" applyBorder="1" applyAlignment="1">
      <alignment horizontal="center" vertical="center"/>
    </xf>
    <xf numFmtId="44" fontId="0" fillId="0" borderId="36" xfId="1" applyFont="1" applyBorder="1" applyAlignment="1">
      <alignment horizontal="center" vertical="center"/>
    </xf>
    <xf numFmtId="44" fontId="0" fillId="0" borderId="41" xfId="1" applyFont="1" applyBorder="1" applyAlignment="1">
      <alignment horizontal="center" vertical="center"/>
    </xf>
    <xf numFmtId="44" fontId="12" fillId="0" borderId="36" xfId="1" applyFont="1" applyBorder="1" applyAlignment="1">
      <alignment horizontal="center" vertical="center"/>
    </xf>
    <xf numFmtId="44" fontId="8" fillId="0" borderId="35" xfId="1" applyFont="1" applyBorder="1" applyAlignment="1">
      <alignment horizontal="center" vertical="center"/>
    </xf>
    <xf numFmtId="0" fontId="13" fillId="0" borderId="0" xfId="0" applyFont="1"/>
    <xf numFmtId="0" fontId="2" fillId="0" borderId="13" xfId="0" applyFont="1" applyBorder="1" applyAlignment="1">
      <alignment horizontal="center" vertical="center" wrapText="1"/>
    </xf>
    <xf numFmtId="164" fontId="0" fillId="0" borderId="26" xfId="0" applyNumberFormat="1" applyBorder="1" applyAlignment="1">
      <alignment horizontal="center" vertical="center"/>
    </xf>
    <xf numFmtId="164" fontId="0" fillId="0" borderId="36" xfId="0" applyNumberFormat="1" applyBorder="1" applyAlignment="1">
      <alignment horizontal="center" vertical="center"/>
    </xf>
    <xf numFmtId="44" fontId="3" fillId="4" borderId="0" xfId="0" applyNumberFormat="1" applyFont="1" applyFill="1"/>
    <xf numFmtId="44" fontId="3" fillId="0" borderId="44" xfId="0" applyNumberFormat="1" applyFont="1" applyBorder="1"/>
    <xf numFmtId="44" fontId="3" fillId="0" borderId="45" xfId="0" applyNumberFormat="1" applyFont="1" applyBorder="1"/>
    <xf numFmtId="0" fontId="0" fillId="0" borderId="0" xfId="0" applyAlignment="1">
      <alignment wrapText="1"/>
    </xf>
    <xf numFmtId="0" fontId="16" fillId="0" borderId="0" xfId="0" applyFont="1" applyAlignment="1">
      <alignment horizontal="center" vertical="top" wrapText="1"/>
    </xf>
    <xf numFmtId="44" fontId="0" fillId="0" borderId="9" xfId="1" applyFont="1" applyBorder="1"/>
    <xf numFmtId="44" fontId="0" fillId="0" borderId="13" xfId="1" applyFont="1" applyBorder="1"/>
    <xf numFmtId="0" fontId="0" fillId="0" borderId="4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right"/>
    </xf>
    <xf numFmtId="0" fontId="15" fillId="0" borderId="0" xfId="0" applyFont="1"/>
    <xf numFmtId="0" fontId="0" fillId="0" borderId="29" xfId="0" applyBorder="1"/>
    <xf numFmtId="44" fontId="0" fillId="0" borderId="30" xfId="0" applyNumberFormat="1" applyBorder="1"/>
    <xf numFmtId="0" fontId="0" fillId="0" borderId="42" xfId="0" applyBorder="1"/>
    <xf numFmtId="0" fontId="0" fillId="0" borderId="31" xfId="0" applyBorder="1"/>
    <xf numFmtId="0" fontId="2" fillId="0" borderId="34" xfId="0" applyFont="1" applyBorder="1" applyAlignment="1">
      <alignment horizontal="center" vertical="center" wrapText="1"/>
    </xf>
    <xf numFmtId="0" fontId="2" fillId="0" borderId="34" xfId="0" quotePrefix="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quotePrefix="1" applyFont="1" applyBorder="1" applyAlignment="1">
      <alignment horizontal="center" vertical="center" wrapText="1"/>
    </xf>
    <xf numFmtId="0" fontId="2" fillId="0" borderId="28" xfId="0" applyFont="1" applyBorder="1" applyAlignment="1">
      <alignment horizontal="center" vertical="center" wrapText="1"/>
    </xf>
    <xf numFmtId="0" fontId="0" fillId="0" borderId="52" xfId="0" applyBorder="1"/>
    <xf numFmtId="0" fontId="0" fillId="0" borderId="53" xfId="0" applyBorder="1"/>
    <xf numFmtId="44" fontId="0" fillId="0" borderId="53" xfId="0" applyNumberFormat="1" applyBorder="1"/>
    <xf numFmtId="44" fontId="0" fillId="0" borderId="53" xfId="2" applyNumberFormat="1" applyFont="1" applyBorder="1" applyAlignment="1">
      <alignment horizontal="center"/>
    </xf>
    <xf numFmtId="44" fontId="0" fillId="0" borderId="54" xfId="2" applyNumberFormat="1" applyFont="1" applyBorder="1" applyAlignment="1">
      <alignment horizontal="center"/>
    </xf>
    <xf numFmtId="0" fontId="17" fillId="0" borderId="31" xfId="0" applyFont="1" applyBorder="1"/>
    <xf numFmtId="0" fontId="14" fillId="0" borderId="31" xfId="0" applyFont="1" applyBorder="1" applyAlignment="1">
      <alignment horizontal="right"/>
    </xf>
    <xf numFmtId="44" fontId="14" fillId="0" borderId="43" xfId="0" applyNumberFormat="1" applyFont="1" applyBorder="1"/>
    <xf numFmtId="44" fontId="0" fillId="0" borderId="52" xfId="0" applyNumberFormat="1" applyBorder="1"/>
    <xf numFmtId="44" fontId="0" fillId="0" borderId="40" xfId="0" applyNumberFormat="1" applyBorder="1"/>
    <xf numFmtId="44" fontId="0" fillId="0" borderId="37" xfId="0" applyNumberFormat="1" applyBorder="1"/>
    <xf numFmtId="0" fontId="2" fillId="0" borderId="0" xfId="0" applyFont="1"/>
    <xf numFmtId="44" fontId="3" fillId="3" borderId="0" xfId="0" applyNumberFormat="1" applyFont="1" applyFill="1"/>
    <xf numFmtId="0" fontId="0" fillId="0" borderId="53" xfId="2" applyNumberFormat="1" applyFont="1" applyBorder="1" applyAlignment="1">
      <alignment horizontal="center" vertical="center"/>
    </xf>
    <xf numFmtId="0" fontId="19" fillId="0" borderId="0" xfId="0" applyFont="1"/>
    <xf numFmtId="0" fontId="10" fillId="2" borderId="26" xfId="0" applyFont="1" applyFill="1" applyBorder="1" applyAlignment="1">
      <alignment horizontal="center"/>
    </xf>
    <xf numFmtId="0" fontId="10" fillId="2" borderId="27" xfId="0" applyFont="1" applyFill="1" applyBorder="1" applyAlignment="1">
      <alignment horizontal="center"/>
    </xf>
    <xf numFmtId="0" fontId="10" fillId="2" borderId="28" xfId="0" applyFont="1" applyFill="1" applyBorder="1" applyAlignment="1">
      <alignment horizontal="center"/>
    </xf>
    <xf numFmtId="0" fontId="11" fillId="2" borderId="29" xfId="0" applyFont="1" applyFill="1" applyBorder="1" applyAlignment="1">
      <alignment horizontal="center"/>
    </xf>
    <xf numFmtId="0" fontId="11" fillId="2" borderId="0" xfId="0" applyFont="1" applyFill="1" applyAlignment="1">
      <alignment horizontal="center"/>
    </xf>
    <xf numFmtId="0" fontId="11" fillId="2" borderId="30" xfId="0" applyFont="1" applyFill="1" applyBorder="1" applyAlignment="1">
      <alignment horizontal="center"/>
    </xf>
    <xf numFmtId="0" fontId="11" fillId="2" borderId="42" xfId="0" applyFont="1" applyFill="1" applyBorder="1" applyAlignment="1">
      <alignment horizontal="center"/>
    </xf>
    <xf numFmtId="0" fontId="11" fillId="2" borderId="31" xfId="0" applyFont="1" applyFill="1" applyBorder="1" applyAlignment="1">
      <alignment horizontal="center"/>
    </xf>
    <xf numFmtId="0" fontId="11" fillId="2" borderId="43" xfId="0" applyFont="1" applyFill="1" applyBorder="1" applyAlignment="1">
      <alignment horizont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4" xfId="0" applyFont="1" applyBorder="1" applyAlignment="1">
      <alignment horizontal="center" vertical="center" wrapText="1"/>
    </xf>
    <xf numFmtId="0" fontId="2" fillId="0" borderId="48" xfId="0" applyFont="1" applyBorder="1" applyAlignment="1">
      <alignment horizontal="center" vertical="center" wrapText="1"/>
    </xf>
    <xf numFmtId="0" fontId="3" fillId="0" borderId="0" xfId="0" applyFont="1" applyAlignment="1">
      <alignment horizontal="right"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9" fillId="2" borderId="0" xfId="0" applyFont="1" applyFill="1" applyAlignment="1">
      <alignment horizontal="center" vertical="center"/>
    </xf>
    <xf numFmtId="14" fontId="10" fillId="2" borderId="0" xfId="0" applyNumberFormat="1" applyFont="1" applyFill="1" applyAlignment="1">
      <alignment horizontal="center" vertical="center"/>
    </xf>
    <xf numFmtId="0" fontId="10" fillId="2" borderId="0" xfId="0" applyFont="1" applyFill="1" applyAlignment="1">
      <alignment horizontal="center"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25" xfId="0" applyFont="1" applyBorder="1" applyAlignment="1">
      <alignment horizontal="right" vertical="top"/>
    </xf>
    <xf numFmtId="0" fontId="2" fillId="0" borderId="19" xfId="0" applyFont="1" applyBorder="1" applyAlignment="1">
      <alignment horizontal="right" vertical="top"/>
    </xf>
    <xf numFmtId="0" fontId="2" fillId="0" borderId="12" xfId="0" applyFont="1" applyBorder="1" applyAlignment="1">
      <alignment horizontal="right" vertical="top"/>
    </xf>
    <xf numFmtId="44" fontId="0" fillId="0" borderId="24" xfId="1" applyFont="1" applyBorder="1" applyAlignment="1">
      <alignment horizontal="center" vertical="top"/>
    </xf>
    <xf numFmtId="44" fontId="0" fillId="0" borderId="18" xfId="1" applyFont="1" applyBorder="1" applyAlignment="1">
      <alignment horizontal="center" vertical="top"/>
    </xf>
    <xf numFmtId="44" fontId="0" fillId="0" borderId="11" xfId="1" applyFont="1" applyBorder="1" applyAlignment="1">
      <alignment horizontal="center" vertical="top"/>
    </xf>
    <xf numFmtId="0" fontId="0" fillId="0" borderId="34" xfId="0" applyBorder="1" applyAlignment="1">
      <alignment horizontal="center" vertical="top"/>
    </xf>
    <xf numFmtId="0" fontId="0" fillId="0" borderId="49" xfId="0" applyBorder="1" applyAlignment="1">
      <alignment horizontal="center" vertical="top"/>
    </xf>
    <xf numFmtId="0" fontId="0" fillId="0" borderId="50" xfId="0" applyBorder="1" applyAlignment="1">
      <alignment horizontal="center" vertical="top"/>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38" xfId="0" applyFont="1" applyFill="1" applyBorder="1" applyAlignment="1">
      <alignment horizontal="center"/>
    </xf>
    <xf numFmtId="0" fontId="10" fillId="2" borderId="39" xfId="0" applyFont="1" applyFill="1" applyBorder="1" applyAlignment="1">
      <alignment horizontal="center"/>
    </xf>
    <xf numFmtId="0" fontId="10" fillId="2" borderId="40" xfId="0" applyFont="1" applyFill="1" applyBorder="1" applyAlignment="1">
      <alignment horizontal="center"/>
    </xf>
    <xf numFmtId="0" fontId="0" fillId="0" borderId="0" xfId="0" applyAlignment="1">
      <alignment horizontal="left" wrapText="1"/>
    </xf>
    <xf numFmtId="0" fontId="0" fillId="0" borderId="34" xfId="0" applyBorder="1" applyAlignment="1">
      <alignment horizontal="center" vertical="center" textRotation="90"/>
    </xf>
    <xf numFmtId="0" fontId="0" fillId="0" borderId="49" xfId="0" applyBorder="1" applyAlignment="1">
      <alignment horizontal="center" vertical="center" textRotation="90"/>
    </xf>
    <xf numFmtId="0" fontId="0" fillId="0" borderId="48" xfId="0" applyBorder="1" applyAlignment="1">
      <alignment horizontal="center" vertical="center" textRotation="90"/>
    </xf>
    <xf numFmtId="0" fontId="0" fillId="0" borderId="0" xfId="0" applyAlignment="1">
      <alignment horizontal="left" vertical="top" wrapText="1"/>
    </xf>
  </cellXfs>
  <cellStyles count="3">
    <cellStyle name="Currency" xfId="1" builtinId="4"/>
    <cellStyle name="Normal" xfId="0" builtinId="0"/>
    <cellStyle name="Percent" xfId="2" builtinId="5"/>
  </cellStyles>
  <dxfs count="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27278"/>
      <color rgb="FFAA0061"/>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2C77-3ECF-45E7-AFA5-0A2ACE6469C6}">
  <sheetPr>
    <pageSetUpPr fitToPage="1"/>
  </sheetPr>
  <dimension ref="B1:O7"/>
  <sheetViews>
    <sheetView workbookViewId="0">
      <selection activeCell="O14" sqref="O14"/>
    </sheetView>
  </sheetViews>
  <sheetFormatPr defaultRowHeight="15" x14ac:dyDescent="0.25"/>
  <cols>
    <col min="1" max="1" width="3.28515625" customWidth="1"/>
    <col min="2" max="2" width="12.5703125" bestFit="1" customWidth="1"/>
    <col min="3" max="3" width="15.7109375" customWidth="1"/>
    <col min="4" max="4" width="1.7109375" customWidth="1"/>
    <col min="5" max="5" width="15.7109375" customWidth="1"/>
    <col min="6" max="6" width="1.7109375" customWidth="1"/>
    <col min="7" max="7" width="15.7109375" customWidth="1"/>
    <col min="8" max="8" width="4" customWidth="1"/>
    <col min="9" max="9" width="15.7109375" customWidth="1"/>
    <col min="10" max="10" width="1.7109375" customWidth="1"/>
    <col min="11" max="11" width="15.7109375" customWidth="1"/>
    <col min="12" max="12" width="3.140625" bestFit="1" customWidth="1"/>
    <col min="13" max="13" width="15.7109375" customWidth="1"/>
    <col min="14" max="14" width="3.28515625" customWidth="1"/>
    <col min="15" max="15" width="15.7109375" customWidth="1"/>
    <col min="16" max="16" width="3.28515625" customWidth="1"/>
  </cols>
  <sheetData>
    <row r="1" spans="2:15" ht="15.75" thickBot="1" x14ac:dyDescent="0.3"/>
    <row r="2" spans="2:15" ht="16.5" x14ac:dyDescent="0.3">
      <c r="B2" s="98" t="s">
        <v>58</v>
      </c>
      <c r="C2" s="99"/>
      <c r="D2" s="99"/>
      <c r="E2" s="99"/>
      <c r="F2" s="99"/>
      <c r="G2" s="99"/>
      <c r="H2" s="99"/>
      <c r="I2" s="99"/>
      <c r="J2" s="99"/>
      <c r="K2" s="99"/>
      <c r="L2" s="99"/>
      <c r="M2" s="99"/>
      <c r="N2" s="99"/>
      <c r="O2" s="100"/>
    </row>
    <row r="3" spans="2:15" ht="16.5" x14ac:dyDescent="0.3">
      <c r="B3" s="101" t="s">
        <v>25</v>
      </c>
      <c r="C3" s="102"/>
      <c r="D3" s="102"/>
      <c r="E3" s="102"/>
      <c r="F3" s="102"/>
      <c r="G3" s="102"/>
      <c r="H3" s="102"/>
      <c r="I3" s="102"/>
      <c r="J3" s="102"/>
      <c r="K3" s="102"/>
      <c r="L3" s="102"/>
      <c r="M3" s="102"/>
      <c r="N3" s="102"/>
      <c r="O3" s="103"/>
    </row>
    <row r="4" spans="2:15" ht="17.25" thickBot="1" x14ac:dyDescent="0.35">
      <c r="B4" s="104" t="s">
        <v>32</v>
      </c>
      <c r="C4" s="105"/>
      <c r="D4" s="105"/>
      <c r="E4" s="105"/>
      <c r="F4" s="105"/>
      <c r="G4" s="105"/>
      <c r="H4" s="105"/>
      <c r="I4" s="105"/>
      <c r="J4" s="105"/>
      <c r="K4" s="105"/>
      <c r="L4" s="105"/>
      <c r="M4" s="105"/>
      <c r="N4" s="105"/>
      <c r="O4" s="106"/>
    </row>
    <row r="5" spans="2:15" ht="45" customHeight="1" thickBot="1" x14ac:dyDescent="0.3">
      <c r="B5" s="34"/>
      <c r="C5" s="30" t="s">
        <v>17</v>
      </c>
      <c r="D5" s="32" t="s">
        <v>26</v>
      </c>
      <c r="E5" s="31" t="s">
        <v>18</v>
      </c>
      <c r="F5" s="35" t="s">
        <v>27</v>
      </c>
      <c r="G5" s="33" t="s">
        <v>19</v>
      </c>
      <c r="H5" s="35" t="s">
        <v>31</v>
      </c>
      <c r="I5" s="29" t="s">
        <v>20</v>
      </c>
      <c r="J5" s="32" t="s">
        <v>28</v>
      </c>
      <c r="K5" s="31" t="s">
        <v>29</v>
      </c>
      <c r="L5" s="32" t="s">
        <v>30</v>
      </c>
      <c r="M5" s="29" t="s">
        <v>21</v>
      </c>
      <c r="N5" s="30" t="s">
        <v>24</v>
      </c>
      <c r="O5" s="31" t="s">
        <v>22</v>
      </c>
    </row>
    <row r="6" spans="2:15" x14ac:dyDescent="0.25">
      <c r="B6" s="28" t="s">
        <v>0</v>
      </c>
      <c r="C6" s="36">
        <v>23.45</v>
      </c>
      <c r="D6" s="37"/>
      <c r="E6" s="38">
        <v>29622</v>
      </c>
      <c r="F6" s="37"/>
      <c r="G6" s="39">
        <f>C6*E6</f>
        <v>694635.9</v>
      </c>
      <c r="H6" s="37"/>
      <c r="I6" s="40">
        <v>1270481</v>
      </c>
      <c r="J6" s="41"/>
      <c r="K6" s="38">
        <v>0</v>
      </c>
      <c r="L6" s="37"/>
      <c r="M6" s="42">
        <f>K6+I6-G6</f>
        <v>575845.1</v>
      </c>
      <c r="N6" s="41"/>
      <c r="O6" s="43"/>
    </row>
    <row r="7" spans="2:15" ht="15.75" thickBot="1" x14ac:dyDescent="0.3">
      <c r="B7" s="46" t="s">
        <v>1</v>
      </c>
      <c r="C7" s="47">
        <v>23.45</v>
      </c>
      <c r="D7" s="48"/>
      <c r="E7" s="49">
        <v>4069</v>
      </c>
      <c r="F7" s="50"/>
      <c r="G7" s="51">
        <f>C7*E7</f>
        <v>95418.05</v>
      </c>
      <c r="H7" s="50"/>
      <c r="I7" s="52">
        <v>480000</v>
      </c>
      <c r="J7" s="53"/>
      <c r="K7" s="49">
        <v>0</v>
      </c>
      <c r="L7" s="50"/>
      <c r="M7" s="54">
        <f>K7+I7-G7</f>
        <v>384581.95</v>
      </c>
      <c r="N7" s="53"/>
      <c r="O7" s="55"/>
    </row>
  </sheetData>
  <mergeCells count="3">
    <mergeCell ref="B2:O2"/>
    <mergeCell ref="B3:O3"/>
    <mergeCell ref="B4:O4"/>
  </mergeCells>
  <printOptions horizontalCentered="1"/>
  <pageMargins left="0.25" right="0.25" top="0.25" bottom="0.25" header="0.3" footer="0.3"/>
  <pageSetup paperSize="278"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B7011-E094-4E29-AEF1-5D03D546F7E3}">
  <sheetPr>
    <pageSetUpPr fitToPage="1"/>
  </sheetPr>
  <dimension ref="B1:O8"/>
  <sheetViews>
    <sheetView workbookViewId="0">
      <selection activeCell="E24" sqref="E24"/>
    </sheetView>
  </sheetViews>
  <sheetFormatPr defaultRowHeight="15" x14ac:dyDescent="0.25"/>
  <cols>
    <col min="1" max="1" width="3.28515625" customWidth="1"/>
    <col min="2" max="2" width="12.5703125" bestFit="1" customWidth="1"/>
    <col min="3" max="3" width="15.7109375" customWidth="1"/>
    <col min="4" max="4" width="1.7109375" customWidth="1"/>
    <col min="5" max="5" width="15.7109375" customWidth="1"/>
    <col min="6" max="6" width="1.7109375" customWidth="1"/>
    <col min="7" max="7" width="15.7109375" customWidth="1"/>
    <col min="8" max="8" width="4" customWidth="1"/>
    <col min="9" max="9" width="15.7109375" customWidth="1"/>
    <col min="10" max="10" width="1.7109375" customWidth="1"/>
    <col min="11" max="11" width="15.7109375" customWidth="1"/>
    <col min="12" max="12" width="3.140625" bestFit="1" customWidth="1"/>
    <col min="13" max="13" width="15.7109375" customWidth="1"/>
    <col min="14" max="14" width="3.28515625" customWidth="1"/>
    <col min="15" max="15" width="15.7109375" customWidth="1"/>
    <col min="16" max="16" width="3.28515625" customWidth="1"/>
  </cols>
  <sheetData>
    <row r="1" spans="2:15" ht="15.75" thickBot="1" x14ac:dyDescent="0.3"/>
    <row r="2" spans="2:15" ht="16.5" x14ac:dyDescent="0.3">
      <c r="B2" s="98" t="s">
        <v>59</v>
      </c>
      <c r="C2" s="99"/>
      <c r="D2" s="99"/>
      <c r="E2" s="99"/>
      <c r="F2" s="99"/>
      <c r="G2" s="99"/>
      <c r="H2" s="99"/>
      <c r="I2" s="99"/>
      <c r="J2" s="99"/>
      <c r="K2" s="99"/>
      <c r="L2" s="99"/>
      <c r="M2" s="99"/>
      <c r="N2" s="99"/>
      <c r="O2" s="100"/>
    </row>
    <row r="3" spans="2:15" ht="16.5" x14ac:dyDescent="0.3">
      <c r="B3" s="101" t="s">
        <v>25</v>
      </c>
      <c r="C3" s="102"/>
      <c r="D3" s="102"/>
      <c r="E3" s="102"/>
      <c r="F3" s="102"/>
      <c r="G3" s="102"/>
      <c r="H3" s="102"/>
      <c r="I3" s="102"/>
      <c r="J3" s="102"/>
      <c r="K3" s="102"/>
      <c r="L3" s="102"/>
      <c r="M3" s="102"/>
      <c r="N3" s="102"/>
      <c r="O3" s="103"/>
    </row>
    <row r="4" spans="2:15" ht="17.25" thickBot="1" x14ac:dyDescent="0.35">
      <c r="B4" s="104" t="s">
        <v>23</v>
      </c>
      <c r="C4" s="105"/>
      <c r="D4" s="105"/>
      <c r="E4" s="105"/>
      <c r="F4" s="105"/>
      <c r="G4" s="105"/>
      <c r="H4" s="105"/>
      <c r="I4" s="105"/>
      <c r="J4" s="105"/>
      <c r="K4" s="105"/>
      <c r="L4" s="105"/>
      <c r="M4" s="105"/>
      <c r="N4" s="105"/>
      <c r="O4" s="106"/>
    </row>
    <row r="5" spans="2:15" ht="45" customHeight="1" thickBot="1" x14ac:dyDescent="0.3">
      <c r="B5" s="34"/>
      <c r="C5" s="30" t="s">
        <v>17</v>
      </c>
      <c r="D5" s="32" t="s">
        <v>26</v>
      </c>
      <c r="E5" s="31" t="s">
        <v>18</v>
      </c>
      <c r="F5" s="35" t="s">
        <v>27</v>
      </c>
      <c r="G5" s="33" t="s">
        <v>19</v>
      </c>
      <c r="H5" s="35" t="s">
        <v>31</v>
      </c>
      <c r="I5" s="29" t="s">
        <v>20</v>
      </c>
      <c r="J5" s="32" t="s">
        <v>28</v>
      </c>
      <c r="K5" s="31" t="s">
        <v>29</v>
      </c>
      <c r="L5" s="32" t="s">
        <v>30</v>
      </c>
      <c r="M5" s="29" t="s">
        <v>21</v>
      </c>
      <c r="N5" s="30" t="s">
        <v>24</v>
      </c>
      <c r="O5" s="31" t="s">
        <v>22</v>
      </c>
    </row>
    <row r="6" spans="2:15" x14ac:dyDescent="0.25">
      <c r="B6" s="28" t="s">
        <v>0</v>
      </c>
      <c r="C6" s="36">
        <v>5.73</v>
      </c>
      <c r="D6" s="37"/>
      <c r="E6" s="38">
        <v>31885</v>
      </c>
      <c r="F6" s="37"/>
      <c r="G6" s="39">
        <f>C6*E6</f>
        <v>182701.05000000002</v>
      </c>
      <c r="H6" s="37"/>
      <c r="I6" s="40">
        <v>0</v>
      </c>
      <c r="J6" s="41"/>
      <c r="K6" s="38">
        <f>'Drainage &amp; Bridge Fees (BGF2)'!M6</f>
        <v>575845.1</v>
      </c>
      <c r="L6" s="37"/>
      <c r="M6" s="42">
        <f>K6+I6-G6</f>
        <v>393144.04999999993</v>
      </c>
      <c r="N6" s="41"/>
      <c r="O6" s="43"/>
    </row>
    <row r="7" spans="2:15" ht="15.75" thickBot="1" x14ac:dyDescent="0.3">
      <c r="B7" s="46" t="s">
        <v>1</v>
      </c>
      <c r="C7" s="47">
        <v>5.73</v>
      </c>
      <c r="D7" s="48"/>
      <c r="E7" s="49">
        <v>4380</v>
      </c>
      <c r="F7" s="50"/>
      <c r="G7" s="51">
        <f>C7*E7</f>
        <v>25097.4</v>
      </c>
      <c r="H7" s="50"/>
      <c r="I7" s="52">
        <v>0</v>
      </c>
      <c r="J7" s="53"/>
      <c r="K7" s="49">
        <f>'Drainage &amp; Bridge Fees (BGF2)'!M7</f>
        <v>384581.95</v>
      </c>
      <c r="L7" s="50"/>
      <c r="M7" s="54">
        <f>K7+I7-G7</f>
        <v>359484.55</v>
      </c>
      <c r="N7" s="53"/>
      <c r="O7" s="55"/>
    </row>
    <row r="8" spans="2:15" x14ac:dyDescent="0.25">
      <c r="B8" s="56"/>
    </row>
  </sheetData>
  <mergeCells count="3">
    <mergeCell ref="B2:O2"/>
    <mergeCell ref="B3:O3"/>
    <mergeCell ref="B4:O4"/>
  </mergeCells>
  <printOptions horizontalCentered="1"/>
  <pageMargins left="0.25" right="0.25" top="0.25" bottom="0.25" header="0.3" footer="0.3"/>
  <pageSetup paperSize="278"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30A2-D076-4ECE-98B5-166B80740304}">
  <sheetPr>
    <pageSetUpPr fitToPage="1"/>
  </sheetPr>
  <dimension ref="B1:O8"/>
  <sheetViews>
    <sheetView workbookViewId="0">
      <selection activeCell="H14" sqref="H14"/>
    </sheetView>
  </sheetViews>
  <sheetFormatPr defaultRowHeight="15" x14ac:dyDescent="0.25"/>
  <cols>
    <col min="1" max="1" width="3.28515625" customWidth="1"/>
    <col min="2" max="2" width="12.5703125" bestFit="1" customWidth="1"/>
    <col min="3" max="3" width="15.7109375" customWidth="1"/>
    <col min="4" max="4" width="1.7109375" customWidth="1"/>
    <col min="5" max="5" width="15.7109375" customWidth="1"/>
    <col min="6" max="6" width="1.7109375" customWidth="1"/>
    <col min="7" max="7" width="15.7109375" customWidth="1"/>
    <col min="8" max="8" width="4" customWidth="1"/>
    <col min="9" max="9" width="15.7109375" customWidth="1"/>
    <col min="10" max="10" width="1.7109375" customWidth="1"/>
    <col min="11" max="11" width="15.7109375" customWidth="1"/>
    <col min="12" max="12" width="3.140625" bestFit="1" customWidth="1"/>
    <col min="13" max="13" width="15.7109375" customWidth="1"/>
    <col min="14" max="14" width="3.28515625" customWidth="1"/>
    <col min="15" max="15" width="15.7109375" customWidth="1"/>
    <col min="16" max="16" width="3.28515625" customWidth="1"/>
  </cols>
  <sheetData>
    <row r="1" spans="2:15" ht="15.75" thickBot="1" x14ac:dyDescent="0.3"/>
    <row r="2" spans="2:15" ht="16.5" x14ac:dyDescent="0.3">
      <c r="B2" s="98" t="s">
        <v>60</v>
      </c>
      <c r="C2" s="99"/>
      <c r="D2" s="99"/>
      <c r="E2" s="99"/>
      <c r="F2" s="99"/>
      <c r="G2" s="99"/>
      <c r="H2" s="99"/>
      <c r="I2" s="99"/>
      <c r="J2" s="99"/>
      <c r="K2" s="99"/>
      <c r="L2" s="99"/>
      <c r="M2" s="99"/>
      <c r="N2" s="99"/>
      <c r="O2" s="100"/>
    </row>
    <row r="3" spans="2:15" ht="16.5" x14ac:dyDescent="0.3">
      <c r="B3" s="101" t="s">
        <v>25</v>
      </c>
      <c r="C3" s="102"/>
      <c r="D3" s="102"/>
      <c r="E3" s="102"/>
      <c r="F3" s="102"/>
      <c r="G3" s="102"/>
      <c r="H3" s="102"/>
      <c r="I3" s="102"/>
      <c r="J3" s="102"/>
      <c r="K3" s="102"/>
      <c r="L3" s="102"/>
      <c r="M3" s="102"/>
      <c r="N3" s="102"/>
      <c r="O3" s="103"/>
    </row>
    <row r="4" spans="2:15" ht="17.25" thickBot="1" x14ac:dyDescent="0.35">
      <c r="B4" s="104" t="s">
        <v>23</v>
      </c>
      <c r="C4" s="105"/>
      <c r="D4" s="105"/>
      <c r="E4" s="105"/>
      <c r="F4" s="105"/>
      <c r="G4" s="105"/>
      <c r="H4" s="105"/>
      <c r="I4" s="105"/>
      <c r="J4" s="105"/>
      <c r="K4" s="105"/>
      <c r="L4" s="105"/>
      <c r="M4" s="105"/>
      <c r="N4" s="105"/>
      <c r="O4" s="106"/>
    </row>
    <row r="5" spans="2:15" ht="45" customHeight="1" thickBot="1" x14ac:dyDescent="0.3">
      <c r="B5" s="34"/>
      <c r="C5" s="30" t="s">
        <v>17</v>
      </c>
      <c r="D5" s="32" t="s">
        <v>26</v>
      </c>
      <c r="E5" s="31" t="s">
        <v>18</v>
      </c>
      <c r="F5" s="35" t="s">
        <v>27</v>
      </c>
      <c r="G5" s="33" t="s">
        <v>19</v>
      </c>
      <c r="H5" s="35" t="s">
        <v>31</v>
      </c>
      <c r="I5" s="29" t="s">
        <v>20</v>
      </c>
      <c r="J5" s="32" t="s">
        <v>28</v>
      </c>
      <c r="K5" s="31" t="s">
        <v>29</v>
      </c>
      <c r="L5" s="32" t="s">
        <v>30</v>
      </c>
      <c r="M5" s="29" t="s">
        <v>21</v>
      </c>
      <c r="N5" s="30" t="s">
        <v>24</v>
      </c>
      <c r="O5" s="31" t="s">
        <v>22</v>
      </c>
    </row>
    <row r="6" spans="2:15" x14ac:dyDescent="0.25">
      <c r="B6" s="28" t="s">
        <v>0</v>
      </c>
      <c r="C6" s="36">
        <v>9.6</v>
      </c>
      <c r="D6" s="37"/>
      <c r="E6" s="38">
        <v>31885</v>
      </c>
      <c r="F6" s="37"/>
      <c r="G6" s="39">
        <f>C6*E6</f>
        <v>306096</v>
      </c>
      <c r="H6" s="37"/>
      <c r="I6" s="40">
        <v>0</v>
      </c>
      <c r="J6" s="41"/>
      <c r="K6" s="38">
        <f>'Drainage &amp; Bridge Fees (F1)'!M6</f>
        <v>393144.04999999993</v>
      </c>
      <c r="L6" s="37"/>
      <c r="M6" s="42">
        <f>K6+I6-G6</f>
        <v>87048.04999999993</v>
      </c>
      <c r="N6" s="41"/>
      <c r="O6" s="43"/>
    </row>
    <row r="7" spans="2:15" ht="15.75" thickBot="1" x14ac:dyDescent="0.3">
      <c r="B7" s="46" t="s">
        <v>1</v>
      </c>
      <c r="C7" s="47">
        <v>9.6</v>
      </c>
      <c r="D7" s="48"/>
      <c r="E7" s="49">
        <v>4380</v>
      </c>
      <c r="F7" s="50"/>
      <c r="G7" s="51">
        <f>C7*E7</f>
        <v>42048</v>
      </c>
      <c r="H7" s="50"/>
      <c r="I7" s="52">
        <v>0</v>
      </c>
      <c r="J7" s="53"/>
      <c r="K7" s="49">
        <f>'Drainage &amp; Bridge Fees (F1)'!M7</f>
        <v>359484.55</v>
      </c>
      <c r="L7" s="50"/>
      <c r="M7" s="54">
        <f>K7+I7-G7</f>
        <v>317436.55</v>
      </c>
      <c r="N7" s="53"/>
      <c r="O7" s="55"/>
    </row>
    <row r="8" spans="2:15" x14ac:dyDescent="0.25">
      <c r="B8" s="56"/>
    </row>
  </sheetData>
  <mergeCells count="3">
    <mergeCell ref="B2:O2"/>
    <mergeCell ref="B3:O3"/>
    <mergeCell ref="B4:O4"/>
  </mergeCells>
  <printOptions horizontalCentered="1"/>
  <pageMargins left="0.25" right="0.25" top="0.25" bottom="0.25" header="0.3" footer="0.3"/>
  <pageSetup paperSize="278"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FA21F-89BF-4ED9-A523-81730615A410}">
  <sheetPr>
    <pageSetUpPr fitToPage="1"/>
  </sheetPr>
  <dimension ref="B1:O8"/>
  <sheetViews>
    <sheetView workbookViewId="0">
      <selection activeCell="G16" sqref="G16"/>
    </sheetView>
  </sheetViews>
  <sheetFormatPr defaultRowHeight="15" x14ac:dyDescent="0.25"/>
  <cols>
    <col min="1" max="1" width="3.28515625" customWidth="1"/>
    <col min="2" max="2" width="12.5703125" bestFit="1" customWidth="1"/>
    <col min="3" max="3" width="15.7109375" customWidth="1"/>
    <col min="4" max="4" width="1.7109375" customWidth="1"/>
    <col min="5" max="5" width="15.7109375" customWidth="1"/>
    <col min="6" max="6" width="1.7109375" customWidth="1"/>
    <col min="7" max="7" width="15.7109375" customWidth="1"/>
    <col min="8" max="8" width="4" customWidth="1"/>
    <col min="9" max="9" width="15.7109375" customWidth="1"/>
    <col min="10" max="10" width="1.7109375" customWidth="1"/>
    <col min="11" max="11" width="15.7109375" customWidth="1"/>
    <col min="12" max="12" width="3.140625" bestFit="1" customWidth="1"/>
    <col min="13" max="13" width="15.7109375" customWidth="1"/>
    <col min="14" max="14" width="3.28515625" customWidth="1"/>
    <col min="15" max="15" width="15.7109375" customWidth="1"/>
    <col min="16" max="16" width="3.28515625" customWidth="1"/>
  </cols>
  <sheetData>
    <row r="1" spans="2:15" ht="15.75" thickBot="1" x14ac:dyDescent="0.3"/>
    <row r="2" spans="2:15" ht="16.5" x14ac:dyDescent="0.3">
      <c r="B2" s="98" t="s">
        <v>61</v>
      </c>
      <c r="C2" s="99"/>
      <c r="D2" s="99"/>
      <c r="E2" s="99"/>
      <c r="F2" s="99"/>
      <c r="G2" s="99"/>
      <c r="H2" s="99"/>
      <c r="I2" s="99"/>
      <c r="J2" s="99"/>
      <c r="K2" s="99"/>
      <c r="L2" s="99"/>
      <c r="M2" s="99"/>
      <c r="N2" s="99"/>
      <c r="O2" s="100"/>
    </row>
    <row r="3" spans="2:15" ht="16.5" x14ac:dyDescent="0.3">
      <c r="B3" s="101" t="s">
        <v>25</v>
      </c>
      <c r="C3" s="102"/>
      <c r="D3" s="102"/>
      <c r="E3" s="102"/>
      <c r="F3" s="102"/>
      <c r="G3" s="102"/>
      <c r="H3" s="102"/>
      <c r="I3" s="102"/>
      <c r="J3" s="102"/>
      <c r="K3" s="102"/>
      <c r="L3" s="102"/>
      <c r="M3" s="102"/>
      <c r="N3" s="102"/>
      <c r="O3" s="103"/>
    </row>
    <row r="4" spans="2:15" ht="17.25" thickBot="1" x14ac:dyDescent="0.35">
      <c r="B4" s="104" t="s">
        <v>35</v>
      </c>
      <c r="C4" s="105"/>
      <c r="D4" s="105"/>
      <c r="E4" s="105"/>
      <c r="F4" s="105"/>
      <c r="G4" s="105"/>
      <c r="H4" s="105"/>
      <c r="I4" s="105"/>
      <c r="J4" s="105"/>
      <c r="K4" s="105"/>
      <c r="L4" s="105"/>
      <c r="M4" s="105"/>
      <c r="N4" s="105"/>
      <c r="O4" s="106"/>
    </row>
    <row r="5" spans="2:15" ht="45" customHeight="1" thickBot="1" x14ac:dyDescent="0.3">
      <c r="B5" s="34"/>
      <c r="C5" s="30" t="s">
        <v>17</v>
      </c>
      <c r="D5" s="32" t="s">
        <v>26</v>
      </c>
      <c r="E5" s="31" t="s">
        <v>18</v>
      </c>
      <c r="F5" s="35" t="s">
        <v>27</v>
      </c>
      <c r="G5" s="33" t="s">
        <v>19</v>
      </c>
      <c r="H5" s="35" t="s">
        <v>31</v>
      </c>
      <c r="I5" s="29" t="s">
        <v>20</v>
      </c>
      <c r="J5" s="32" t="s">
        <v>28</v>
      </c>
      <c r="K5" s="31" t="s">
        <v>29</v>
      </c>
      <c r="L5" s="32" t="s">
        <v>30</v>
      </c>
      <c r="M5" s="29" t="s">
        <v>21</v>
      </c>
      <c r="N5" s="30" t="s">
        <v>24</v>
      </c>
      <c r="O5" s="31" t="s">
        <v>22</v>
      </c>
    </row>
    <row r="6" spans="2:15" x14ac:dyDescent="0.25">
      <c r="B6" s="28" t="s">
        <v>0</v>
      </c>
      <c r="C6" s="36">
        <v>6.665</v>
      </c>
      <c r="D6" s="37"/>
      <c r="E6" s="38">
        <v>34117</v>
      </c>
      <c r="F6" s="37"/>
      <c r="G6" s="39">
        <f>C6*E6</f>
        <v>227389.80499999999</v>
      </c>
      <c r="H6" s="37"/>
      <c r="I6" s="40">
        <v>0</v>
      </c>
      <c r="J6" s="41"/>
      <c r="K6" s="38">
        <f>'Drainage &amp; Bridge Fees (F2)'!M6</f>
        <v>87048.04999999993</v>
      </c>
      <c r="L6" s="37"/>
      <c r="M6" s="42"/>
      <c r="N6" s="41"/>
      <c r="O6" s="43">
        <f>K6+I6-G6</f>
        <v>-140341.75500000006</v>
      </c>
    </row>
    <row r="7" spans="2:15" ht="15.75" thickBot="1" x14ac:dyDescent="0.3">
      <c r="B7" s="46" t="s">
        <v>1</v>
      </c>
      <c r="C7" s="47">
        <v>6.665</v>
      </c>
      <c r="D7" s="48"/>
      <c r="E7" s="49">
        <v>4687</v>
      </c>
      <c r="F7" s="50"/>
      <c r="G7" s="51">
        <f>C7*E7</f>
        <v>31238.855</v>
      </c>
      <c r="H7" s="50"/>
      <c r="I7" s="52">
        <v>0</v>
      </c>
      <c r="J7" s="53"/>
      <c r="K7" s="49">
        <f>'Drainage &amp; Bridge Fees (F2)'!M7</f>
        <v>317436.55</v>
      </c>
      <c r="L7" s="50"/>
      <c r="M7" s="54">
        <f>K7+I7-G7</f>
        <v>286197.69500000001</v>
      </c>
      <c r="N7" s="53"/>
      <c r="O7" s="55"/>
    </row>
    <row r="8" spans="2:15" x14ac:dyDescent="0.25">
      <c r="B8" s="56"/>
    </row>
  </sheetData>
  <mergeCells count="3">
    <mergeCell ref="B2:O2"/>
    <mergeCell ref="B3:O3"/>
    <mergeCell ref="B4:O4"/>
  </mergeCells>
  <printOptions horizontalCentered="1"/>
  <pageMargins left="0.25" right="0.25" top="0.25" bottom="0.25" header="0.3" footer="0.3"/>
  <pageSetup paperSize="278"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C24C-79CD-4959-808F-8441E35020D4}">
  <sheetPr>
    <pageSetUpPr fitToPage="1"/>
  </sheetPr>
  <dimension ref="B1:O8"/>
  <sheetViews>
    <sheetView workbookViewId="0">
      <selection activeCell="I13" sqref="I13"/>
    </sheetView>
  </sheetViews>
  <sheetFormatPr defaultRowHeight="15" x14ac:dyDescent="0.25"/>
  <cols>
    <col min="1" max="1" width="3.28515625" customWidth="1"/>
    <col min="2" max="2" width="12.5703125" bestFit="1" customWidth="1"/>
    <col min="3" max="3" width="15.7109375" customWidth="1"/>
    <col min="4" max="4" width="1.7109375" customWidth="1"/>
    <col min="5" max="5" width="15.7109375" customWidth="1"/>
    <col min="6" max="6" width="1.7109375" customWidth="1"/>
    <col min="7" max="7" width="15.7109375" customWidth="1"/>
    <col min="8" max="8" width="4" customWidth="1"/>
    <col min="9" max="9" width="15.7109375" customWidth="1"/>
    <col min="10" max="10" width="1.7109375" customWidth="1"/>
    <col min="11" max="11" width="15.7109375" customWidth="1"/>
    <col min="12" max="12" width="3.140625" bestFit="1" customWidth="1"/>
    <col min="13" max="13" width="15.7109375" customWidth="1"/>
    <col min="14" max="14" width="3.28515625" customWidth="1"/>
    <col min="15" max="15" width="15.7109375" customWidth="1"/>
    <col min="16" max="16" width="3.28515625" customWidth="1"/>
  </cols>
  <sheetData>
    <row r="1" spans="2:15" ht="15.75" thickBot="1" x14ac:dyDescent="0.3"/>
    <row r="2" spans="2:15" ht="16.5" x14ac:dyDescent="0.3">
      <c r="B2" s="98" t="s">
        <v>68</v>
      </c>
      <c r="C2" s="99"/>
      <c r="D2" s="99"/>
      <c r="E2" s="99"/>
      <c r="F2" s="99"/>
      <c r="G2" s="99"/>
      <c r="H2" s="99"/>
      <c r="I2" s="99"/>
      <c r="J2" s="99"/>
      <c r="K2" s="99"/>
      <c r="L2" s="99"/>
      <c r="M2" s="99"/>
      <c r="N2" s="99"/>
      <c r="O2" s="100"/>
    </row>
    <row r="3" spans="2:15" ht="16.5" x14ac:dyDescent="0.3">
      <c r="B3" s="101" t="s">
        <v>25</v>
      </c>
      <c r="C3" s="102"/>
      <c r="D3" s="102"/>
      <c r="E3" s="102"/>
      <c r="F3" s="102"/>
      <c r="G3" s="102"/>
      <c r="H3" s="102"/>
      <c r="I3" s="102"/>
      <c r="J3" s="102"/>
      <c r="K3" s="102"/>
      <c r="L3" s="102"/>
      <c r="M3" s="102"/>
      <c r="N3" s="102"/>
      <c r="O3" s="103"/>
    </row>
    <row r="4" spans="2:15" ht="17.25" thickBot="1" x14ac:dyDescent="0.35">
      <c r="B4" s="104" t="s">
        <v>35</v>
      </c>
      <c r="C4" s="105"/>
      <c r="D4" s="105"/>
      <c r="E4" s="105"/>
      <c r="F4" s="105"/>
      <c r="G4" s="105"/>
      <c r="H4" s="105"/>
      <c r="I4" s="105"/>
      <c r="J4" s="105"/>
      <c r="K4" s="105"/>
      <c r="L4" s="105"/>
      <c r="M4" s="105"/>
      <c r="N4" s="105"/>
      <c r="O4" s="106"/>
    </row>
    <row r="5" spans="2:15" ht="45" customHeight="1" thickBot="1" x14ac:dyDescent="0.3">
      <c r="B5" s="34"/>
      <c r="C5" s="30" t="s">
        <v>17</v>
      </c>
      <c r="D5" s="32" t="s">
        <v>26</v>
      </c>
      <c r="E5" s="31" t="s">
        <v>18</v>
      </c>
      <c r="F5" s="35" t="s">
        <v>27</v>
      </c>
      <c r="G5" s="33" t="s">
        <v>19</v>
      </c>
      <c r="H5" s="35" t="s">
        <v>31</v>
      </c>
      <c r="I5" s="29" t="s">
        <v>20</v>
      </c>
      <c r="J5" s="32" t="s">
        <v>28</v>
      </c>
      <c r="K5" s="31" t="s">
        <v>29</v>
      </c>
      <c r="L5" s="32" t="s">
        <v>30</v>
      </c>
      <c r="M5" s="29" t="s">
        <v>21</v>
      </c>
      <c r="N5" s="30" t="s">
        <v>24</v>
      </c>
      <c r="O5" s="31" t="s">
        <v>22</v>
      </c>
    </row>
    <row r="6" spans="2:15" x14ac:dyDescent="0.25">
      <c r="B6" s="28" t="s">
        <v>0</v>
      </c>
      <c r="C6" s="58">
        <v>3.5038999999999998</v>
      </c>
      <c r="D6" s="37"/>
      <c r="E6" s="38">
        <v>34117</v>
      </c>
      <c r="F6" s="37"/>
      <c r="G6" s="39">
        <f>C6*E6</f>
        <v>119542.5563</v>
      </c>
      <c r="H6" s="37"/>
      <c r="I6" s="40">
        <v>0</v>
      </c>
      <c r="J6" s="41"/>
      <c r="K6" s="38">
        <f>'Drainage &amp; Bridge Fees (F3)'!M6</f>
        <v>0</v>
      </c>
      <c r="L6" s="37"/>
      <c r="M6" s="42"/>
      <c r="N6" s="41"/>
      <c r="O6" s="43">
        <f>K6+I6-G6</f>
        <v>-119542.5563</v>
      </c>
    </row>
    <row r="7" spans="2:15" ht="15.75" thickBot="1" x14ac:dyDescent="0.3">
      <c r="B7" s="46" t="s">
        <v>1</v>
      </c>
      <c r="C7" s="59">
        <v>3.5038999999999998</v>
      </c>
      <c r="D7" s="48"/>
      <c r="E7" s="49">
        <v>4687</v>
      </c>
      <c r="F7" s="50"/>
      <c r="G7" s="51">
        <f>C7*E7</f>
        <v>16422.779299999998</v>
      </c>
      <c r="H7" s="50"/>
      <c r="I7" s="52">
        <v>0</v>
      </c>
      <c r="J7" s="53"/>
      <c r="K7" s="49">
        <f>'Drainage &amp; Bridge Fees (F2)'!M7</f>
        <v>317436.55</v>
      </c>
      <c r="L7" s="50"/>
      <c r="M7" s="54">
        <f>K7+I7-G7</f>
        <v>301013.77069999999</v>
      </c>
      <c r="N7" s="53"/>
      <c r="O7" s="55"/>
    </row>
    <row r="8" spans="2:15" x14ac:dyDescent="0.25">
      <c r="B8" s="56"/>
    </row>
  </sheetData>
  <mergeCells count="3">
    <mergeCell ref="B2:O2"/>
    <mergeCell ref="B3:O3"/>
    <mergeCell ref="B4:O4"/>
  </mergeCells>
  <printOptions horizontalCentered="1"/>
  <pageMargins left="0.25" right="0.25" top="0.25" bottom="0.25" header="0.3" footer="0.3"/>
  <pageSetup paperSize="27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92CA-22A6-4433-A54E-3AC940BFE51B}">
  <sheetPr>
    <pageSetUpPr fitToPage="1"/>
  </sheetPr>
  <dimension ref="B2:I27"/>
  <sheetViews>
    <sheetView workbookViewId="0">
      <pane ySplit="6" topLeftCell="A7" activePane="bottomLeft" state="frozen"/>
      <selection pane="bottomLeft" activeCell="K21" sqref="K21"/>
    </sheetView>
  </sheetViews>
  <sheetFormatPr defaultRowHeight="15" x14ac:dyDescent="0.25"/>
  <cols>
    <col min="1" max="1" width="2.7109375" customWidth="1"/>
    <col min="2" max="2" width="28.140625" customWidth="1"/>
    <col min="3" max="3" width="15.5703125" customWidth="1"/>
    <col min="4" max="4" width="22.28515625" customWidth="1"/>
    <col min="5" max="5" width="37.5703125" customWidth="1"/>
    <col min="6" max="6" width="20.7109375" customWidth="1"/>
    <col min="7" max="7" width="31" bestFit="1" customWidth="1"/>
    <col min="8" max="8" width="20.7109375" customWidth="1"/>
    <col min="9" max="9" width="12.7109375" customWidth="1"/>
    <col min="10" max="10" width="2.7109375" customWidth="1"/>
  </cols>
  <sheetData>
    <row r="2" spans="2:9" ht="30" customHeight="1" x14ac:dyDescent="0.25">
      <c r="B2" s="117" t="s">
        <v>10</v>
      </c>
      <c r="C2" s="117"/>
      <c r="D2" s="117"/>
      <c r="E2" s="117"/>
      <c r="F2" s="117"/>
      <c r="G2" s="117"/>
      <c r="H2" s="117"/>
      <c r="I2" s="117"/>
    </row>
    <row r="3" spans="2:9" ht="15" customHeight="1" x14ac:dyDescent="0.25">
      <c r="B3" s="118" t="str">
        <f ca="1">"Last Revised: " &amp; TEXT(TODAY(),"DDDD, MMMM DD")</f>
        <v>Last Revised: Thursday, September 22</v>
      </c>
      <c r="C3" s="119"/>
      <c r="D3" s="119"/>
      <c r="E3" s="119"/>
      <c r="F3" s="119"/>
      <c r="G3" s="119"/>
      <c r="H3" s="119"/>
      <c r="I3" s="119"/>
    </row>
    <row r="4" spans="2:9" ht="15.75" thickBot="1" x14ac:dyDescent="0.3"/>
    <row r="5" spans="2:9" ht="30" customHeight="1" x14ac:dyDescent="0.25">
      <c r="B5" s="124"/>
      <c r="C5" s="125"/>
      <c r="D5" s="126"/>
      <c r="E5" s="122" t="s">
        <v>13</v>
      </c>
      <c r="F5" s="123"/>
      <c r="G5" s="107" t="s">
        <v>5</v>
      </c>
      <c r="H5" s="108"/>
      <c r="I5" s="109" t="s">
        <v>3</v>
      </c>
    </row>
    <row r="6" spans="2:9" ht="30" customHeight="1" thickBot="1" x14ac:dyDescent="0.3">
      <c r="B6" s="22" t="s">
        <v>6</v>
      </c>
      <c r="C6" s="16" t="s">
        <v>7</v>
      </c>
      <c r="D6" s="14" t="s">
        <v>4</v>
      </c>
      <c r="E6" s="17" t="s">
        <v>15</v>
      </c>
      <c r="F6" s="18" t="s">
        <v>14</v>
      </c>
      <c r="G6" s="57" t="s">
        <v>11</v>
      </c>
      <c r="H6" s="18" t="s">
        <v>2</v>
      </c>
      <c r="I6" s="110"/>
    </row>
    <row r="7" spans="2:9" ht="15" customHeight="1" x14ac:dyDescent="0.25">
      <c r="B7" s="136" t="s">
        <v>16</v>
      </c>
      <c r="C7" s="127" t="s">
        <v>0</v>
      </c>
      <c r="D7" s="130">
        <f>'Drainage &amp; Bridge Fees (BGF2)'!G6</f>
        <v>694635.9</v>
      </c>
      <c r="E7" s="20">
        <v>1270481</v>
      </c>
      <c r="F7" s="130">
        <f>E7-D7</f>
        <v>575845.1</v>
      </c>
      <c r="G7" s="23">
        <f>SUM(G8:G10)</f>
        <v>489284.78</v>
      </c>
      <c r="H7" s="130">
        <f>G7-D7</f>
        <v>-205351.12</v>
      </c>
      <c r="I7" s="133" t="s">
        <v>12</v>
      </c>
    </row>
    <row r="8" spans="2:9" ht="15" customHeight="1" x14ac:dyDescent="0.25">
      <c r="B8" s="137"/>
      <c r="C8" s="128"/>
      <c r="D8" s="131"/>
      <c r="E8" s="25" t="str">
        <f>"(Channel Improvements)" &amp; " $264,407.00"</f>
        <v>(Channel Improvements) $264,407.00</v>
      </c>
      <c r="F8" s="131"/>
      <c r="G8" s="24">
        <v>0</v>
      </c>
      <c r="H8" s="131"/>
      <c r="I8" s="134"/>
    </row>
    <row r="9" spans="2:9" ht="15" customHeight="1" x14ac:dyDescent="0.25">
      <c r="B9" s="137"/>
      <c r="C9" s="128"/>
      <c r="D9" s="131"/>
      <c r="E9" s="25" t="str">
        <f>"(Rip Rap Improvements)" &amp; " $635,264.00"</f>
        <v>(Rip Rap Improvements) $635,264.00</v>
      </c>
      <c r="F9" s="131"/>
      <c r="G9" s="24">
        <v>0</v>
      </c>
      <c r="H9" s="131"/>
      <c r="I9" s="134"/>
    </row>
    <row r="10" spans="2:9" ht="15" customHeight="1" x14ac:dyDescent="0.25">
      <c r="B10" s="137"/>
      <c r="C10" s="129"/>
      <c r="D10" s="132"/>
      <c r="E10" s="26" t="str">
        <f>"(Pond WU)" &amp; " $370,810.00"</f>
        <v>(Pond WU) $370,810.00</v>
      </c>
      <c r="F10" s="132"/>
      <c r="G10" s="27">
        <v>489284.78</v>
      </c>
      <c r="H10" s="132"/>
      <c r="I10" s="135"/>
    </row>
    <row r="11" spans="2:9" ht="15.75" thickBot="1" x14ac:dyDescent="0.3">
      <c r="B11" s="138"/>
      <c r="C11" s="21" t="s">
        <v>1</v>
      </c>
      <c r="D11" s="15">
        <f>'Drainage &amp; Bridge Fees (BGF2)'!G7</f>
        <v>95418.05</v>
      </c>
      <c r="E11" s="19">
        <v>480000</v>
      </c>
      <c r="F11" s="15">
        <f>E11-D11</f>
        <v>384581.95</v>
      </c>
      <c r="G11" s="19"/>
      <c r="H11" s="15"/>
      <c r="I11" s="67" t="s">
        <v>12</v>
      </c>
    </row>
    <row r="12" spans="2:9" x14ac:dyDescent="0.25">
      <c r="B12" s="112" t="s">
        <v>8</v>
      </c>
      <c r="C12" s="5" t="s">
        <v>0</v>
      </c>
      <c r="D12" s="6">
        <f>'Drainage &amp; Bridge Fees (F1)'!G6</f>
        <v>182701.05000000002</v>
      </c>
      <c r="E12" s="10">
        <v>0</v>
      </c>
      <c r="F12" s="9">
        <f>E12-D12</f>
        <v>-182701.05000000002</v>
      </c>
      <c r="G12" s="44"/>
      <c r="H12" s="9"/>
      <c r="I12" s="68" t="s">
        <v>12</v>
      </c>
    </row>
    <row r="13" spans="2:9" ht="15.75" thickBot="1" x14ac:dyDescent="0.3">
      <c r="B13" s="120"/>
      <c r="C13" s="1" t="s">
        <v>1</v>
      </c>
      <c r="D13" s="2">
        <f>'Drainage &amp; Bridge Fees (F1)'!G7</f>
        <v>25097.4</v>
      </c>
      <c r="E13" s="3">
        <v>0</v>
      </c>
      <c r="F13" s="2">
        <f t="shared" ref="F13:F16" si="0">E13-D13</f>
        <v>-25097.4</v>
      </c>
      <c r="G13" s="45"/>
      <c r="H13" s="2"/>
      <c r="I13" s="69" t="s">
        <v>12</v>
      </c>
    </row>
    <row r="14" spans="2:9" x14ac:dyDescent="0.25">
      <c r="B14" s="121" t="s">
        <v>34</v>
      </c>
      <c r="C14" s="8" t="s">
        <v>0</v>
      </c>
      <c r="D14" s="9">
        <f>'Drainage &amp; Bridge Fees (F2)'!G6</f>
        <v>306096</v>
      </c>
      <c r="E14" s="7">
        <v>0</v>
      </c>
      <c r="F14" s="6">
        <f t="shared" si="0"/>
        <v>-306096</v>
      </c>
      <c r="G14" s="65"/>
      <c r="H14" s="6"/>
      <c r="I14" s="70" t="s">
        <v>12</v>
      </c>
    </row>
    <row r="15" spans="2:9" ht="15.75" thickBot="1" x14ac:dyDescent="0.3">
      <c r="B15" s="120"/>
      <c r="C15" s="1" t="s">
        <v>1</v>
      </c>
      <c r="D15" s="2">
        <f>'Drainage &amp; Bridge Fees (F2)'!G7</f>
        <v>42048</v>
      </c>
      <c r="E15" s="13">
        <v>0</v>
      </c>
      <c r="F15" s="12">
        <f>E15-D15</f>
        <v>-42048</v>
      </c>
      <c r="G15" s="66"/>
      <c r="H15" s="12"/>
      <c r="I15" s="71" t="s">
        <v>12</v>
      </c>
    </row>
    <row r="16" spans="2:9" ht="15" customHeight="1" x14ac:dyDescent="0.25">
      <c r="B16" s="112" t="s">
        <v>33</v>
      </c>
      <c r="C16" s="5" t="s">
        <v>0</v>
      </c>
      <c r="D16" s="6">
        <f>'Drainage &amp; Bridge Fees (F3)'!G6</f>
        <v>227389.80499999999</v>
      </c>
      <c r="E16" s="44">
        <v>0</v>
      </c>
      <c r="F16" s="9">
        <f t="shared" si="0"/>
        <v>-227389.80499999999</v>
      </c>
      <c r="G16" s="44"/>
      <c r="H16" s="9"/>
      <c r="I16" s="68" t="s">
        <v>12</v>
      </c>
    </row>
    <row r="17" spans="2:9" ht="15.75" thickBot="1" x14ac:dyDescent="0.3">
      <c r="B17" s="113"/>
      <c r="C17" s="11" t="s">
        <v>1</v>
      </c>
      <c r="D17" s="12">
        <f>'Drainage &amp; Bridge Fees (F3)'!G7</f>
        <v>31238.855</v>
      </c>
      <c r="E17" s="45">
        <v>0</v>
      </c>
      <c r="F17" s="2">
        <f>E17-D17</f>
        <v>-31238.855</v>
      </c>
      <c r="G17" s="45"/>
      <c r="H17" s="2"/>
      <c r="I17" s="69" t="s">
        <v>12</v>
      </c>
    </row>
    <row r="18" spans="2:9" x14ac:dyDescent="0.25">
      <c r="B18" s="114" t="s">
        <v>67</v>
      </c>
      <c r="C18" s="8" t="s">
        <v>0</v>
      </c>
      <c r="D18" s="9">
        <f>'Drainage &amp; Bridge Fees (F4)'!G6</f>
        <v>119542.5563</v>
      </c>
      <c r="E18" s="7">
        <v>0</v>
      </c>
      <c r="F18" s="6">
        <f>E18-D18</f>
        <v>-119542.5563</v>
      </c>
      <c r="G18" s="65"/>
      <c r="H18" s="6"/>
      <c r="I18" s="70" t="s">
        <v>12</v>
      </c>
    </row>
    <row r="19" spans="2:9" ht="15.75" thickBot="1" x14ac:dyDescent="0.3">
      <c r="B19" s="115"/>
      <c r="C19" s="1" t="s">
        <v>1</v>
      </c>
      <c r="D19" s="2">
        <f>'Drainage &amp; Bridge Fees (F4)'!G7</f>
        <v>16422.779299999998</v>
      </c>
      <c r="E19" s="13">
        <v>0</v>
      </c>
      <c r="F19" s="12">
        <f>E19-D19</f>
        <v>-16422.779299999998</v>
      </c>
      <c r="G19" s="66"/>
      <c r="H19" s="12"/>
      <c r="I19" s="71" t="s">
        <v>12</v>
      </c>
    </row>
    <row r="20" spans="2:9" ht="15" customHeight="1" x14ac:dyDescent="0.25">
      <c r="B20" s="116" t="s">
        <v>63</v>
      </c>
      <c r="C20" s="5" t="s">
        <v>0</v>
      </c>
      <c r="D20" s="6">
        <v>0</v>
      </c>
      <c r="E20" s="44">
        <v>1558171.1</v>
      </c>
      <c r="F20" s="9">
        <f>E20-D20</f>
        <v>1558171.1</v>
      </c>
      <c r="G20" s="44"/>
      <c r="H20" s="9"/>
      <c r="I20" s="68" t="s">
        <v>12</v>
      </c>
    </row>
    <row r="21" spans="2:9" ht="15.75" thickBot="1" x14ac:dyDescent="0.3">
      <c r="B21" s="115"/>
      <c r="C21" s="1" t="s">
        <v>1</v>
      </c>
      <c r="D21" s="2">
        <v>0</v>
      </c>
      <c r="E21" s="45"/>
      <c r="F21" s="2"/>
      <c r="G21" s="45"/>
      <c r="H21" s="2"/>
      <c r="I21" s="69" t="s">
        <v>12</v>
      </c>
    </row>
    <row r="22" spans="2:9" ht="15.75" thickBot="1" x14ac:dyDescent="0.3"/>
    <row r="23" spans="2:9" ht="15.75" thickTop="1" x14ac:dyDescent="0.25">
      <c r="B23" s="111" t="s">
        <v>9</v>
      </c>
      <c r="C23" s="4" t="s">
        <v>0</v>
      </c>
      <c r="D23" s="95">
        <f>SUM(D7,D12,D14,D16,D18,D20)</f>
        <v>1530365.3113000002</v>
      </c>
      <c r="E23" s="60">
        <f>SUM(E7,E12,E14,E16,E18,E20)</f>
        <v>2828652.1</v>
      </c>
      <c r="F23" s="61">
        <f>SUM(F7,F12,F14,F16,F18,F20)</f>
        <v>1298286.7886999999</v>
      </c>
      <c r="G23" s="60">
        <f>SUM(G7,G12,G14,G16,G18,G20)</f>
        <v>489284.78</v>
      </c>
      <c r="H23" s="61">
        <f>SUM(H7,H12,H14,H16,H18,H20)</f>
        <v>-205351.12</v>
      </c>
    </row>
    <row r="24" spans="2:9" ht="15.75" thickBot="1" x14ac:dyDescent="0.3">
      <c r="B24" s="111"/>
      <c r="C24" s="4" t="s">
        <v>1</v>
      </c>
      <c r="D24" s="95">
        <f>SUM(D11,D13,D15,D17,D19,D21)</f>
        <v>210225.08430000002</v>
      </c>
      <c r="E24" s="60">
        <f>SUM(E11,E13,E15,E17,E19,E21)</f>
        <v>480000</v>
      </c>
      <c r="F24" s="62">
        <f>SUM(F11,F13,F15,F17,F19,F21)</f>
        <v>269774.91570000001</v>
      </c>
      <c r="G24" s="60">
        <f>SUM(G11,G13,G15,G17,G19,G21)</f>
        <v>0</v>
      </c>
      <c r="H24" s="62">
        <f>SUM(H11,H13,H15,H17,H19,H21)</f>
        <v>0</v>
      </c>
    </row>
    <row r="25" spans="2:9" ht="15.75" thickTop="1" x14ac:dyDescent="0.25">
      <c r="F25" s="64"/>
      <c r="H25" s="64"/>
    </row>
    <row r="26" spans="2:9" x14ac:dyDescent="0.25">
      <c r="B26" s="97" t="s">
        <v>66</v>
      </c>
      <c r="C26" s="72"/>
    </row>
    <row r="27" spans="2:9" x14ac:dyDescent="0.25">
      <c r="C27" s="72"/>
    </row>
  </sheetData>
  <mergeCells count="18">
    <mergeCell ref="B2:I2"/>
    <mergeCell ref="B3:I3"/>
    <mergeCell ref="B12:B13"/>
    <mergeCell ref="B14:B15"/>
    <mergeCell ref="E5:F5"/>
    <mergeCell ref="B5:D5"/>
    <mergeCell ref="C7:C10"/>
    <mergeCell ref="D7:D10"/>
    <mergeCell ref="F7:F10"/>
    <mergeCell ref="H7:H10"/>
    <mergeCell ref="I7:I10"/>
    <mergeCell ref="B7:B11"/>
    <mergeCell ref="G5:H5"/>
    <mergeCell ref="I5:I6"/>
    <mergeCell ref="B23:B24"/>
    <mergeCell ref="B16:B17"/>
    <mergeCell ref="B18:B19"/>
    <mergeCell ref="B20:B21"/>
  </mergeCells>
  <conditionalFormatting sqref="I7 I11:I21">
    <cfRule type="containsText" dxfId="7" priority="4" operator="containsText" text="YES">
      <formula>NOT(ISERROR(SEARCH("YES",I7)))</formula>
    </cfRule>
    <cfRule type="containsText" dxfId="6" priority="5" operator="containsText" text="NO">
      <formula>NOT(ISERROR(SEARCH("NO",I7)))</formula>
    </cfRule>
  </conditionalFormatting>
  <conditionalFormatting sqref="D7:H24">
    <cfRule type="cellIs" dxfId="5" priority="3" operator="lessThan">
      <formula>0</formula>
    </cfRule>
  </conditionalFormatting>
  <conditionalFormatting sqref="F23:F24 H23:H24">
    <cfRule type="cellIs" dxfId="4" priority="2" operator="greaterThan">
      <formula>0</formula>
    </cfRule>
  </conditionalFormatting>
  <printOptions horizontalCentered="1"/>
  <pageMargins left="0.25" right="0.25" top="0.25" bottom="0.25" header="0.3" footer="0.3"/>
  <pageSetup paperSize="278"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B15E9-D6F3-4260-B03F-2BC378566A5B}">
  <sheetPr>
    <pageSetUpPr fitToPage="1"/>
  </sheetPr>
  <dimension ref="B2:M34"/>
  <sheetViews>
    <sheetView workbookViewId="0">
      <selection activeCell="J30" sqref="J30"/>
    </sheetView>
  </sheetViews>
  <sheetFormatPr defaultRowHeight="15" x14ac:dyDescent="0.25"/>
  <cols>
    <col min="1" max="1" width="2.7109375" customWidth="1"/>
    <col min="2" max="2" width="3.7109375" bestFit="1" customWidth="1"/>
    <col min="3" max="3" width="2.7109375" customWidth="1"/>
    <col min="4" max="4" width="30.7109375" customWidth="1"/>
    <col min="5" max="5" width="2.7109375" customWidth="1"/>
    <col min="6" max="6" width="15.7109375" customWidth="1"/>
    <col min="7" max="7" width="2.7109375" customWidth="1"/>
    <col min="8" max="8" width="15.7109375" customWidth="1"/>
    <col min="9" max="9" width="4.7109375" customWidth="1"/>
    <col min="10" max="10" width="15.7109375" customWidth="1"/>
    <col min="11" max="11" width="2.7109375" customWidth="1"/>
  </cols>
  <sheetData>
    <row r="2" spans="2:13" ht="25.5" x14ac:dyDescent="0.25">
      <c r="B2" s="117" t="s">
        <v>36</v>
      </c>
      <c r="C2" s="117"/>
      <c r="D2" s="117"/>
      <c r="E2" s="117"/>
      <c r="F2" s="117"/>
      <c r="G2" s="117"/>
      <c r="H2" s="117"/>
      <c r="I2" s="117"/>
      <c r="J2" s="117"/>
    </row>
    <row r="3" spans="2:13" ht="15" customHeight="1" x14ac:dyDescent="0.25">
      <c r="B3" s="118" t="str">
        <f ca="1">"Last Revised: " &amp; TEXT(TODAY(),"DDDD, MMMM DD")</f>
        <v>Last Revised: Thursday, September 22</v>
      </c>
      <c r="C3" s="118"/>
      <c r="D3" s="118"/>
      <c r="E3" s="118"/>
      <c r="F3" s="118"/>
      <c r="G3" s="118"/>
      <c r="H3" s="118"/>
      <c r="I3" s="118"/>
      <c r="J3" s="118"/>
    </row>
    <row r="4" spans="2:13" ht="15.75" thickBot="1" x14ac:dyDescent="0.3"/>
    <row r="5" spans="2:13" ht="17.25" customHeight="1" thickBot="1" x14ac:dyDescent="0.35">
      <c r="B5" s="143" t="s">
        <v>48</v>
      </c>
      <c r="D5" s="139" t="s">
        <v>45</v>
      </c>
      <c r="E5" s="140"/>
      <c r="F5" s="140"/>
      <c r="G5" s="140"/>
      <c r="H5" s="140"/>
      <c r="I5" s="140"/>
      <c r="J5" s="141"/>
    </row>
    <row r="6" spans="2:13" ht="30.75" thickBot="1" x14ac:dyDescent="0.3">
      <c r="B6" s="144"/>
      <c r="D6" s="78" t="s">
        <v>37</v>
      </c>
      <c r="E6" s="78" t="s">
        <v>44</v>
      </c>
      <c r="F6" s="80" t="s">
        <v>38</v>
      </c>
      <c r="G6" s="81" t="s">
        <v>26</v>
      </c>
      <c r="H6" s="82" t="s">
        <v>62</v>
      </c>
      <c r="I6" s="79" t="s">
        <v>30</v>
      </c>
      <c r="J6" s="78" t="s">
        <v>43</v>
      </c>
    </row>
    <row r="7" spans="2:13" ht="15" customHeight="1" thickBot="1" x14ac:dyDescent="0.3">
      <c r="B7" s="144"/>
      <c r="D7" s="83" t="s">
        <v>42</v>
      </c>
      <c r="E7" s="84"/>
      <c r="F7" s="85">
        <v>593011</v>
      </c>
      <c r="G7" s="85"/>
      <c r="H7" s="96">
        <v>1.47</v>
      </c>
      <c r="I7" s="86"/>
      <c r="J7" s="87">
        <f>F7*H7</f>
        <v>871726.17</v>
      </c>
    </row>
    <row r="8" spans="2:13" x14ac:dyDescent="0.25">
      <c r="B8" s="144"/>
      <c r="D8" s="74"/>
      <c r="I8" s="72" t="s">
        <v>39</v>
      </c>
      <c r="J8" s="75">
        <f>J7*0.15</f>
        <v>130758.9255</v>
      </c>
    </row>
    <row r="9" spans="2:13" x14ac:dyDescent="0.25">
      <c r="B9" s="144"/>
      <c r="D9" s="74"/>
      <c r="I9" s="72" t="s">
        <v>40</v>
      </c>
      <c r="J9" s="75">
        <f>J7*0.2</f>
        <v>174345.23400000003</v>
      </c>
    </row>
    <row r="10" spans="2:13" ht="15.75" thickBot="1" x14ac:dyDescent="0.3">
      <c r="B10" s="144"/>
      <c r="D10" s="76"/>
      <c r="E10" s="77"/>
      <c r="F10" s="77"/>
      <c r="G10" s="77"/>
      <c r="H10" s="88"/>
      <c r="I10" s="89" t="s">
        <v>41</v>
      </c>
      <c r="J10" s="90">
        <f>J7+J8+J9</f>
        <v>1176830.3295</v>
      </c>
    </row>
    <row r="11" spans="2:13" ht="15.75" thickBot="1" x14ac:dyDescent="0.3">
      <c r="B11" s="144"/>
      <c r="M11" s="73"/>
    </row>
    <row r="12" spans="2:13" ht="17.25" thickBot="1" x14ac:dyDescent="0.35">
      <c r="B12" s="144"/>
      <c r="D12" s="139" t="s">
        <v>46</v>
      </c>
      <c r="E12" s="140"/>
      <c r="F12" s="140"/>
      <c r="G12" s="140"/>
      <c r="H12" s="140"/>
      <c r="I12" s="140"/>
      <c r="J12" s="141"/>
    </row>
    <row r="13" spans="2:13" ht="30.75" thickBot="1" x14ac:dyDescent="0.3">
      <c r="B13" s="144"/>
      <c r="D13" s="78" t="s">
        <v>37</v>
      </c>
      <c r="E13" s="78" t="s">
        <v>44</v>
      </c>
      <c r="F13" s="80" t="s">
        <v>38</v>
      </c>
      <c r="G13" s="81" t="s">
        <v>26</v>
      </c>
      <c r="H13" s="82" t="s">
        <v>62</v>
      </c>
      <c r="I13" s="79" t="s">
        <v>30</v>
      </c>
      <c r="J13" s="78" t="s">
        <v>43</v>
      </c>
    </row>
    <row r="14" spans="2:13" ht="15.75" thickBot="1" x14ac:dyDescent="0.3">
      <c r="B14" s="144"/>
      <c r="D14" s="83" t="s">
        <v>47</v>
      </c>
      <c r="E14" s="84"/>
      <c r="F14" s="85">
        <v>0</v>
      </c>
      <c r="G14" s="85"/>
      <c r="H14" s="96">
        <v>1.47</v>
      </c>
      <c r="I14" s="86"/>
      <c r="J14" s="87">
        <f>F14*H14</f>
        <v>0</v>
      </c>
    </row>
    <row r="15" spans="2:13" x14ac:dyDescent="0.25">
      <c r="B15" s="144"/>
      <c r="D15" s="74"/>
      <c r="I15" s="72" t="s">
        <v>39</v>
      </c>
      <c r="J15" s="75">
        <f>J14*0.15</f>
        <v>0</v>
      </c>
    </row>
    <row r="16" spans="2:13" x14ac:dyDescent="0.25">
      <c r="B16" s="144"/>
      <c r="D16" s="74"/>
      <c r="I16" s="72" t="s">
        <v>40</v>
      </c>
      <c r="J16" s="75">
        <f>J14*0.2</f>
        <v>0</v>
      </c>
    </row>
    <row r="17" spans="2:10" ht="15.75" thickBot="1" x14ac:dyDescent="0.3">
      <c r="B17" s="145"/>
      <c r="D17" s="76"/>
      <c r="E17" s="77"/>
      <c r="F17" s="77"/>
      <c r="G17" s="77"/>
      <c r="H17" s="88"/>
      <c r="I17" s="89" t="s">
        <v>41</v>
      </c>
      <c r="J17" s="90">
        <f>J14+J15+J16</f>
        <v>0</v>
      </c>
    </row>
    <row r="18" spans="2:10" ht="15.75" thickBot="1" x14ac:dyDescent="0.3"/>
    <row r="19" spans="2:10" ht="17.25" thickBot="1" x14ac:dyDescent="0.35">
      <c r="B19" s="143" t="s">
        <v>49</v>
      </c>
      <c r="D19" s="139" t="s">
        <v>45</v>
      </c>
      <c r="E19" s="140"/>
      <c r="F19" s="140"/>
      <c r="G19" s="140"/>
      <c r="H19" s="140"/>
      <c r="I19" s="140"/>
      <c r="J19" s="141"/>
    </row>
    <row r="20" spans="2:10" ht="30.75" thickBot="1" x14ac:dyDescent="0.3">
      <c r="B20" s="144"/>
      <c r="D20" s="78" t="s">
        <v>37</v>
      </c>
      <c r="E20" s="78" t="s">
        <v>44</v>
      </c>
      <c r="F20" s="80" t="s">
        <v>38</v>
      </c>
      <c r="G20" s="81" t="s">
        <v>26</v>
      </c>
      <c r="H20" s="82" t="s">
        <v>62</v>
      </c>
      <c r="I20" s="79" t="s">
        <v>30</v>
      </c>
      <c r="J20" s="78" t="s">
        <v>43</v>
      </c>
    </row>
    <row r="21" spans="2:10" ht="15.75" thickBot="1" x14ac:dyDescent="0.3">
      <c r="B21" s="144"/>
      <c r="D21" s="83" t="s">
        <v>50</v>
      </c>
      <c r="E21" s="84"/>
      <c r="F21" s="85">
        <v>20000</v>
      </c>
      <c r="G21" s="85"/>
      <c r="H21" s="96">
        <v>1.47</v>
      </c>
      <c r="I21" s="86"/>
      <c r="J21" s="87">
        <f>F21*H21</f>
        <v>29400</v>
      </c>
    </row>
    <row r="22" spans="2:10" x14ac:dyDescent="0.25">
      <c r="B22" s="144"/>
      <c r="D22" s="74"/>
      <c r="I22" s="72" t="s">
        <v>39</v>
      </c>
      <c r="J22" s="75">
        <f>J21*0.15</f>
        <v>4410</v>
      </c>
    </row>
    <row r="23" spans="2:10" x14ac:dyDescent="0.25">
      <c r="B23" s="144"/>
      <c r="D23" s="74"/>
      <c r="I23" s="72" t="s">
        <v>40</v>
      </c>
      <c r="J23" s="75">
        <f>J21*0.2</f>
        <v>5880</v>
      </c>
    </row>
    <row r="24" spans="2:10" ht="15.75" thickBot="1" x14ac:dyDescent="0.3">
      <c r="B24" s="144"/>
      <c r="D24" s="76"/>
      <c r="E24" s="77"/>
      <c r="F24" s="77"/>
      <c r="G24" s="77"/>
      <c r="H24" s="88"/>
      <c r="I24" s="89" t="s">
        <v>41</v>
      </c>
      <c r="J24" s="90">
        <f>J21+J22+J23</f>
        <v>39690</v>
      </c>
    </row>
    <row r="25" spans="2:10" ht="15.75" thickBot="1" x14ac:dyDescent="0.3">
      <c r="B25" s="144"/>
    </row>
    <row r="26" spans="2:10" ht="17.25" thickBot="1" x14ac:dyDescent="0.35">
      <c r="B26" s="144"/>
      <c r="D26" s="139" t="s">
        <v>46</v>
      </c>
      <c r="E26" s="140"/>
      <c r="F26" s="140"/>
      <c r="G26" s="140"/>
      <c r="H26" s="140"/>
      <c r="I26" s="140"/>
      <c r="J26" s="141"/>
    </row>
    <row r="27" spans="2:10" ht="30.75" thickBot="1" x14ac:dyDescent="0.3">
      <c r="B27" s="144"/>
      <c r="D27" s="78" t="s">
        <v>37</v>
      </c>
      <c r="E27" s="78" t="s">
        <v>44</v>
      </c>
      <c r="F27" s="80" t="s">
        <v>38</v>
      </c>
      <c r="G27" s="81" t="s">
        <v>26</v>
      </c>
      <c r="H27" s="82" t="s">
        <v>62</v>
      </c>
      <c r="I27" s="79" t="s">
        <v>30</v>
      </c>
      <c r="J27" s="78" t="s">
        <v>43</v>
      </c>
    </row>
    <row r="28" spans="2:10" ht="15.75" thickBot="1" x14ac:dyDescent="0.3">
      <c r="B28" s="144"/>
      <c r="D28" s="83" t="s">
        <v>51</v>
      </c>
      <c r="E28" s="84"/>
      <c r="F28" s="85">
        <v>658410</v>
      </c>
      <c r="G28" s="85"/>
      <c r="H28" s="96">
        <v>1.47</v>
      </c>
      <c r="I28" s="86"/>
      <c r="J28" s="87">
        <f>F28*H28</f>
        <v>967862.7</v>
      </c>
    </row>
    <row r="29" spans="2:10" x14ac:dyDescent="0.25">
      <c r="B29" s="144"/>
      <c r="D29" s="74"/>
      <c r="I29" s="72" t="s">
        <v>39</v>
      </c>
      <c r="J29" s="75">
        <f>J28*0.15</f>
        <v>145179.405</v>
      </c>
    </row>
    <row r="30" spans="2:10" x14ac:dyDescent="0.25">
      <c r="B30" s="144"/>
      <c r="D30" s="74"/>
      <c r="I30" s="72" t="s">
        <v>40</v>
      </c>
      <c r="J30" s="75">
        <f>J28*0.2</f>
        <v>193572.54</v>
      </c>
    </row>
    <row r="31" spans="2:10" ht="15.75" thickBot="1" x14ac:dyDescent="0.3">
      <c r="B31" s="145"/>
      <c r="D31" s="76"/>
      <c r="E31" s="77"/>
      <c r="F31" s="77"/>
      <c r="G31" s="77"/>
      <c r="H31" s="88"/>
      <c r="I31" s="89" t="s">
        <v>41</v>
      </c>
      <c r="J31" s="90">
        <f>J28+J29+J30</f>
        <v>1306614.645</v>
      </c>
    </row>
    <row r="33" spans="2:10" ht="44.25" customHeight="1" x14ac:dyDescent="0.25">
      <c r="B33" s="142" t="s">
        <v>52</v>
      </c>
      <c r="C33" s="142"/>
      <c r="D33" s="142"/>
      <c r="E33" s="142"/>
      <c r="F33" s="142"/>
      <c r="G33" s="142"/>
      <c r="H33" s="142"/>
      <c r="I33" s="142"/>
      <c r="J33" s="142"/>
    </row>
    <row r="34" spans="2:10" x14ac:dyDescent="0.25">
      <c r="D34" s="63"/>
    </row>
  </sheetData>
  <mergeCells count="9">
    <mergeCell ref="B2:J2"/>
    <mergeCell ref="B3:J3"/>
    <mergeCell ref="D5:J5"/>
    <mergeCell ref="B33:J33"/>
    <mergeCell ref="D12:J12"/>
    <mergeCell ref="B5:B17"/>
    <mergeCell ref="B19:B31"/>
    <mergeCell ref="D19:J19"/>
    <mergeCell ref="D26:J26"/>
  </mergeCells>
  <printOptions horizontalCentered="1"/>
  <pageMargins left="0.25" right="0.25" top="0.25" bottom="0.25" header="0.3" footer="0.3"/>
  <pageSetup paperSize="2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9058-72A3-4612-87D8-338D116B1D53}">
  <sheetPr>
    <pageSetUpPr fitToPage="1"/>
  </sheetPr>
  <dimension ref="B2:D17"/>
  <sheetViews>
    <sheetView tabSelected="1" workbookViewId="0">
      <selection activeCell="G7" sqref="G7"/>
    </sheetView>
  </sheetViews>
  <sheetFormatPr defaultRowHeight="15" x14ac:dyDescent="0.25"/>
  <cols>
    <col min="1" max="1" width="2.7109375" customWidth="1"/>
    <col min="2" max="4" width="30.7109375" customWidth="1"/>
  </cols>
  <sheetData>
    <row r="2" spans="2:4" ht="25.5" x14ac:dyDescent="0.25">
      <c r="B2" s="117" t="s">
        <v>53</v>
      </c>
      <c r="C2" s="117"/>
      <c r="D2" s="117"/>
    </row>
    <row r="3" spans="2:4" ht="16.5" x14ac:dyDescent="0.25">
      <c r="B3" s="118" t="str">
        <f ca="1">"Last Revised: " &amp; TEXT(TODAY(),"DDDD, MMMM DD")</f>
        <v>Last Revised: Thursday, September 22</v>
      </c>
      <c r="C3" s="118"/>
      <c r="D3" s="118"/>
    </row>
    <row r="4" spans="2:4" ht="15" customHeight="1" thickBot="1" x14ac:dyDescent="0.3"/>
    <row r="5" spans="2:4" ht="17.25" thickBot="1" x14ac:dyDescent="0.35">
      <c r="B5" s="139" t="s">
        <v>45</v>
      </c>
      <c r="C5" s="140"/>
      <c r="D5" s="141"/>
    </row>
    <row r="6" spans="2:4" ht="30.75" thickBot="1" x14ac:dyDescent="0.3">
      <c r="B6" s="33" t="s">
        <v>56</v>
      </c>
      <c r="C6" s="33" t="s">
        <v>54</v>
      </c>
      <c r="D6" s="33" t="s">
        <v>55</v>
      </c>
    </row>
    <row r="7" spans="2:4" ht="15.75" thickBot="1" x14ac:dyDescent="0.3">
      <c r="B7" s="93">
        <f>'Fee Offset Summary'!D23</f>
        <v>1530365.3113000002</v>
      </c>
      <c r="C7" s="91">
        <f>'Fee Offset Summary'!E23</f>
        <v>2828652.1</v>
      </c>
      <c r="D7" s="92">
        <f>'Eligible Offsets (DBPS)'!J10</f>
        <v>1176830.3295</v>
      </c>
    </row>
    <row r="8" spans="2:4" ht="15.75" thickBot="1" x14ac:dyDescent="0.3"/>
    <row r="9" spans="2:4" ht="17.25" thickBot="1" x14ac:dyDescent="0.35">
      <c r="B9" s="139" t="s">
        <v>46</v>
      </c>
      <c r="C9" s="140"/>
      <c r="D9" s="141"/>
    </row>
    <row r="10" spans="2:4" ht="30.75" thickBot="1" x14ac:dyDescent="0.3">
      <c r="B10" s="33" t="s">
        <v>56</v>
      </c>
      <c r="C10" s="33" t="s">
        <v>54</v>
      </c>
      <c r="D10" s="33" t="s">
        <v>55</v>
      </c>
    </row>
    <row r="11" spans="2:4" ht="15.75" thickBot="1" x14ac:dyDescent="0.3">
      <c r="B11" s="93">
        <f>'Fee Offset Summary'!D24</f>
        <v>210225.08430000002</v>
      </c>
      <c r="C11" s="91">
        <f>'Fee Offset Summary'!E24</f>
        <v>480000</v>
      </c>
      <c r="D11" s="92">
        <f>'Eligible Offsets (DBPS)'!J17</f>
        <v>0</v>
      </c>
    </row>
    <row r="13" spans="2:4" x14ac:dyDescent="0.25">
      <c r="B13" s="94" t="s">
        <v>64</v>
      </c>
    </row>
    <row r="14" spans="2:4" ht="79.5" customHeight="1" x14ac:dyDescent="0.25">
      <c r="B14" s="146" t="s">
        <v>65</v>
      </c>
      <c r="C14" s="146"/>
      <c r="D14" s="146"/>
    </row>
    <row r="16" spans="2:4" x14ac:dyDescent="0.25">
      <c r="B16" s="94" t="s">
        <v>57</v>
      </c>
    </row>
    <row r="17" spans="2:4" ht="76.5" customHeight="1" x14ac:dyDescent="0.25">
      <c r="B17" s="146" t="s">
        <v>65</v>
      </c>
      <c r="C17" s="146"/>
      <c r="D17" s="146"/>
    </row>
  </sheetData>
  <mergeCells count="6">
    <mergeCell ref="B2:D2"/>
    <mergeCell ref="B3:D3"/>
    <mergeCell ref="B14:D14"/>
    <mergeCell ref="B17:D17"/>
    <mergeCell ref="B5:D5"/>
    <mergeCell ref="B9:D9"/>
  </mergeCells>
  <conditionalFormatting sqref="D11 C11">
    <cfRule type="cellIs" dxfId="3" priority="4" operator="greaterThan">
      <formula>$B$11</formula>
    </cfRule>
  </conditionalFormatting>
  <conditionalFormatting sqref="D7 C7">
    <cfRule type="cellIs" dxfId="2" priority="2" operator="greaterThan">
      <formula>$B$7</formula>
    </cfRule>
  </conditionalFormatting>
  <conditionalFormatting sqref="C11:D11">
    <cfRule type="cellIs" dxfId="1" priority="3" operator="lessThan">
      <formula>$B$11</formula>
    </cfRule>
  </conditionalFormatting>
  <conditionalFormatting sqref="C7:D7">
    <cfRule type="cellIs" dxfId="0" priority="1" operator="lessThan">
      <formula>$B$7</formula>
    </cfRule>
  </conditionalFormatting>
  <printOptions horizontalCentered="1"/>
  <pageMargins left="0.25" right="0.25" top="0.25" bottom="0.25" header="0.3" footer="0.3"/>
  <pageSetup paperSize="2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Drainage &amp; Bridge Fees (BGF2)</vt:lpstr>
      <vt:lpstr>Drainage &amp; Bridge Fees (F1)</vt:lpstr>
      <vt:lpstr>Drainage &amp; Bridge Fees (F2)</vt:lpstr>
      <vt:lpstr>Drainage &amp; Bridge Fees (F3)</vt:lpstr>
      <vt:lpstr>Drainage &amp; Bridge Fees (F4)</vt:lpstr>
      <vt:lpstr>Fee Offset Summary</vt:lpstr>
      <vt:lpstr>Eligible Offsets (DBPS)</vt:lpstr>
      <vt:lpstr>Final Comparison Table</vt:lpstr>
      <vt:lpstr>'Drainage &amp; Bridge Fees (BGF2)'!Print_Area</vt:lpstr>
      <vt:lpstr>'Drainage &amp; Bridge Fees (F1)'!Print_Area</vt:lpstr>
      <vt:lpstr>'Drainage &amp; Bridge Fees (F2)'!Print_Area</vt:lpstr>
      <vt:lpstr>'Drainage &amp; Bridge Fees (F3)'!Print_Area</vt:lpstr>
      <vt:lpstr>'Drainage &amp; Bridge Fees (F4)'!Print_Area</vt:lpstr>
      <vt:lpstr>'Eligible Offsets (DBPS)'!Print_Area</vt:lpstr>
      <vt:lpstr>'Fee Offset Summary'!Print_Area</vt:lpstr>
      <vt:lpstr>'Final Comparison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Caleb Johnson</dc:creator>
  <cp:lastModifiedBy>Caleb Johnson</cp:lastModifiedBy>
  <cp:lastPrinted>2022-08-20T00:48:25Z</cp:lastPrinted>
  <dcterms:created xsi:type="dcterms:W3CDTF">2021-12-02T16:27:58Z</dcterms:created>
  <dcterms:modified xsi:type="dcterms:W3CDTF">2022-09-22T16:43:52Z</dcterms:modified>
</cp:coreProperties>
</file>