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S:\21.1129.009 Rolling Hills Floodplain and Permitting\300 Water Resources\340 CLOMR LOMR\Report\3rd Submittal\Appendix D - Detailed Results\"/>
    </mc:Choice>
  </mc:AlternateContent>
  <xr:revisionPtr revIDLastSave="0" documentId="13_ncr:1_{A2AF4732-3061-47EA-9BA6-4ADD7A146166}" xr6:coauthVersionLast="47" xr6:coauthVersionMax="47" xr10:uidLastSave="{00000000-0000-0000-0000-000000000000}"/>
  <bookViews>
    <workbookView xWindow="19095" yWindow="0" windowWidth="19410" windowHeight="20985" firstSheet="1" activeTab="3" xr2:uid="{00000000-000D-0000-FFFF-FFFF00000000}"/>
  </bookViews>
  <sheets>
    <sheet name="Documentation Checklist" sheetId="4" r:id="rId1"/>
    <sheet name="BFE Compar Table" sheetId="7" r:id="rId2"/>
    <sheet name="BFE Compar Table - Interpolated" sheetId="6" r:id="rId3"/>
    <sheet name="Agreement Table"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9" i="7" l="1"/>
  <c r="O72" i="7"/>
  <c r="O73" i="7"/>
  <c r="O74" i="7"/>
  <c r="O75" i="7"/>
  <c r="O76" i="7"/>
  <c r="O77" i="7"/>
  <c r="O78" i="7"/>
  <c r="O79" i="7"/>
  <c r="O80" i="7"/>
  <c r="O81" i="7"/>
  <c r="O82" i="7"/>
  <c r="O83" i="7"/>
  <c r="O84" i="7"/>
  <c r="O85" i="7"/>
  <c r="O86" i="7"/>
  <c r="O87" i="7"/>
  <c r="O88" i="7"/>
  <c r="P88" i="7"/>
  <c r="O89" i="7"/>
  <c r="O90" i="7"/>
  <c r="O91" i="7"/>
  <c r="O92" i="7"/>
  <c r="O93" i="7"/>
  <c r="O94" i="7"/>
  <c r="O95" i="7"/>
  <c r="O96" i="7"/>
  <c r="O97" i="7"/>
  <c r="O98" i="7"/>
  <c r="P98" i="7"/>
  <c r="O99" i="7"/>
  <c r="O100" i="7"/>
  <c r="O101" i="7"/>
  <c r="O102" i="7"/>
  <c r="O103" i="7"/>
  <c r="O104" i="7"/>
  <c r="O105" i="7"/>
  <c r="O106" i="7"/>
  <c r="P106" i="7"/>
  <c r="O107" i="7"/>
  <c r="O108" i="7"/>
  <c r="O109" i="7"/>
  <c r="O110" i="7"/>
  <c r="O111" i="7"/>
  <c r="O112" i="7"/>
  <c r="P143" i="7"/>
  <c r="O144" i="7"/>
  <c r="P144" i="7"/>
  <c r="O145" i="7"/>
  <c r="P145" i="7"/>
  <c r="O146" i="7"/>
  <c r="P146" i="7"/>
  <c r="N146" i="7"/>
  <c r="M146" i="7"/>
  <c r="L146" i="7"/>
  <c r="N145" i="7"/>
  <c r="M145" i="7"/>
  <c r="L145" i="7"/>
  <c r="N144" i="7"/>
  <c r="M144" i="7"/>
  <c r="L144" i="7"/>
  <c r="N143" i="7"/>
  <c r="M143" i="7"/>
  <c r="L143" i="7"/>
  <c r="N106" i="7"/>
  <c r="N98" i="7"/>
  <c r="L20" i="7"/>
  <c r="L88" i="7"/>
  <c r="M88" i="7"/>
  <c r="M20" i="7"/>
  <c r="M34" i="7"/>
  <c r="M49" i="7"/>
  <c r="M55" i="7"/>
  <c r="M66" i="7"/>
  <c r="M98" i="7"/>
  <c r="M106" i="7"/>
  <c r="L106" i="7"/>
  <c r="L98" i="7"/>
  <c r="L66" i="7"/>
  <c r="L55" i="7"/>
  <c r="L49" i="7"/>
  <c r="L34" i="7"/>
  <c r="L16" i="7"/>
  <c r="L17" i="7"/>
  <c r="L13" i="7"/>
  <c r="P66" i="7"/>
  <c r="O66" i="7"/>
  <c r="N66" i="7"/>
  <c r="O65" i="7"/>
  <c r="O64" i="7"/>
  <c r="O63" i="7"/>
  <c r="O62" i="7"/>
  <c r="O61" i="7"/>
  <c r="O60" i="7"/>
  <c r="O59" i="7"/>
  <c r="O58" i="7"/>
  <c r="O57" i="7"/>
  <c r="O56" i="7"/>
  <c r="P55" i="7"/>
  <c r="O55" i="7"/>
  <c r="N55" i="7"/>
  <c r="O54" i="7"/>
  <c r="O53" i="7"/>
  <c r="O52" i="7"/>
  <c r="O50" i="7"/>
  <c r="P49" i="7"/>
  <c r="O49" i="7"/>
  <c r="N49" i="7"/>
  <c r="O48" i="7"/>
  <c r="O46" i="7"/>
  <c r="O45" i="7"/>
  <c r="O44" i="7"/>
  <c r="O43" i="7"/>
  <c r="O42" i="7"/>
  <c r="O41" i="7"/>
  <c r="O40" i="7"/>
  <c r="O39" i="7"/>
  <c r="O38" i="7"/>
  <c r="O37" i="7"/>
  <c r="O36" i="7"/>
  <c r="O35" i="7"/>
  <c r="P34" i="7"/>
  <c r="O34" i="7"/>
  <c r="N34" i="7"/>
  <c r="O33" i="7"/>
  <c r="O32" i="7"/>
  <c r="O31" i="7"/>
  <c r="O30" i="7"/>
  <c r="O27" i="7"/>
  <c r="O26" i="7"/>
  <c r="O25" i="7"/>
  <c r="O24" i="7"/>
  <c r="O23" i="7"/>
  <c r="O22" i="7"/>
  <c r="M17" i="7"/>
  <c r="M16" i="7"/>
  <c r="M15" i="7"/>
  <c r="L15" i="7"/>
  <c r="P14" i="7"/>
  <c r="O14" i="7"/>
  <c r="N14" i="7"/>
  <c r="M14" i="7"/>
  <c r="L14" i="7"/>
  <c r="P13" i="7"/>
  <c r="O13" i="7"/>
  <c r="N13" i="7"/>
  <c r="M13" i="7"/>
  <c r="P12" i="7"/>
  <c r="O12" i="7"/>
  <c r="N12" i="7"/>
  <c r="M12" i="7"/>
  <c r="L12" i="7"/>
  <c r="H97" i="6"/>
  <c r="H96" i="6"/>
  <c r="H95" i="6"/>
  <c r="H94" i="6"/>
  <c r="H93" i="6"/>
  <c r="H92" i="6"/>
  <c r="H91" i="6"/>
  <c r="H90" i="6"/>
  <c r="H89" i="6"/>
  <c r="G97" i="6"/>
  <c r="G96" i="6"/>
  <c r="G95" i="6"/>
  <c r="G94" i="6"/>
  <c r="G93" i="6"/>
  <c r="G92" i="6"/>
  <c r="G91" i="6"/>
  <c r="G90" i="6"/>
  <c r="G89" i="6"/>
  <c r="I90" i="6"/>
  <c r="I91" i="6"/>
  <c r="I92" i="6"/>
  <c r="I93" i="6"/>
  <c r="I94" i="6"/>
  <c r="I95" i="6"/>
  <c r="I96" i="6"/>
  <c r="I97" i="6"/>
  <c r="I89" i="6"/>
  <c r="G87" i="6"/>
  <c r="H87" i="6"/>
  <c r="I68" i="6"/>
  <c r="I69" i="6"/>
  <c r="I70" i="6"/>
  <c r="I71" i="6"/>
  <c r="I72" i="6"/>
  <c r="I73" i="6"/>
  <c r="I74" i="6"/>
  <c r="I75" i="6"/>
  <c r="I76" i="6"/>
  <c r="I77" i="6"/>
  <c r="I78" i="6"/>
  <c r="I79" i="6"/>
  <c r="I80" i="6"/>
  <c r="I81" i="6"/>
  <c r="I82" i="6"/>
  <c r="I83" i="6"/>
  <c r="I84" i="6"/>
  <c r="I85" i="6"/>
  <c r="I86" i="6"/>
  <c r="I87" i="6"/>
  <c r="I67" i="6"/>
  <c r="J71" i="6"/>
  <c r="O71" i="6"/>
  <c r="J68" i="6"/>
  <c r="O68" i="6" s="1"/>
  <c r="K142" i="6"/>
  <c r="K70" i="6"/>
  <c r="K67" i="6"/>
  <c r="O67" i="6" s="1"/>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07" i="6"/>
  <c r="P100" i="6"/>
  <c r="P101" i="6"/>
  <c r="P102" i="6"/>
  <c r="P103" i="6"/>
  <c r="P104" i="6"/>
  <c r="P105" i="6"/>
  <c r="P99" i="6"/>
  <c r="P88" i="6"/>
  <c r="P57" i="6"/>
  <c r="P58" i="6"/>
  <c r="P59" i="6"/>
  <c r="P60" i="6"/>
  <c r="P61" i="6"/>
  <c r="P62" i="6"/>
  <c r="P63" i="6"/>
  <c r="P64" i="6"/>
  <c r="P65" i="6"/>
  <c r="P56" i="6"/>
  <c r="P51" i="6"/>
  <c r="P52" i="6"/>
  <c r="P53" i="6"/>
  <c r="P54" i="6"/>
  <c r="P50" i="6"/>
  <c r="P36" i="6"/>
  <c r="P37" i="6"/>
  <c r="P38" i="6"/>
  <c r="P39" i="6"/>
  <c r="P40" i="6"/>
  <c r="P41" i="6"/>
  <c r="P42" i="6"/>
  <c r="P43" i="6"/>
  <c r="P44" i="6"/>
  <c r="P45" i="6"/>
  <c r="P46" i="6"/>
  <c r="P47" i="6"/>
  <c r="P48" i="6"/>
  <c r="P35" i="6"/>
  <c r="P18" i="6"/>
  <c r="P19" i="6"/>
  <c r="P21" i="6"/>
  <c r="P22" i="6"/>
  <c r="P23" i="6"/>
  <c r="P24" i="6"/>
  <c r="P25" i="6"/>
  <c r="P26" i="6"/>
  <c r="P27" i="6"/>
  <c r="P28" i="6"/>
  <c r="P29" i="6"/>
  <c r="P30" i="6"/>
  <c r="P31" i="6"/>
  <c r="P32" i="6"/>
  <c r="P33" i="6"/>
  <c r="O114" i="6"/>
  <c r="O115" i="6"/>
  <c r="O116" i="6"/>
  <c r="O113" i="6"/>
  <c r="O51" i="6"/>
  <c r="O47" i="6"/>
  <c r="O29" i="6"/>
  <c r="O28" i="6"/>
  <c r="O18" i="6"/>
  <c r="O19" i="6"/>
  <c r="O21"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07" i="6"/>
  <c r="N100" i="6"/>
  <c r="N101" i="6"/>
  <c r="N102" i="6"/>
  <c r="N103" i="6"/>
  <c r="N104" i="6"/>
  <c r="N105" i="6"/>
  <c r="N99" i="6"/>
  <c r="N88" i="6"/>
  <c r="N57" i="6"/>
  <c r="N58" i="6"/>
  <c r="N59" i="6"/>
  <c r="N60" i="6"/>
  <c r="N61" i="6"/>
  <c r="N62" i="6"/>
  <c r="N63" i="6"/>
  <c r="N64" i="6"/>
  <c r="N65" i="6"/>
  <c r="N56" i="6"/>
  <c r="N51" i="6"/>
  <c r="N52" i="6"/>
  <c r="N53" i="6"/>
  <c r="N54" i="6"/>
  <c r="N50" i="6"/>
  <c r="N36" i="6"/>
  <c r="N37" i="6"/>
  <c r="N38" i="6"/>
  <c r="N39" i="6"/>
  <c r="N40" i="6"/>
  <c r="N41" i="6"/>
  <c r="N42" i="6"/>
  <c r="N43" i="6"/>
  <c r="N44" i="6"/>
  <c r="N45" i="6"/>
  <c r="N46" i="6"/>
  <c r="N47" i="6"/>
  <c r="N48" i="6"/>
  <c r="N35" i="6"/>
  <c r="N18" i="6"/>
  <c r="N19" i="6"/>
  <c r="N21" i="6"/>
  <c r="N22" i="6"/>
  <c r="N23" i="6"/>
  <c r="N24" i="6"/>
  <c r="N25" i="6"/>
  <c r="N26" i="6"/>
  <c r="N27" i="6"/>
  <c r="N28" i="6"/>
  <c r="N29" i="6"/>
  <c r="N30" i="6"/>
  <c r="N31" i="6"/>
  <c r="N32" i="6"/>
  <c r="N33"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07" i="6"/>
  <c r="M100" i="6"/>
  <c r="M101" i="6"/>
  <c r="M102" i="6"/>
  <c r="M103" i="6"/>
  <c r="M104" i="6"/>
  <c r="M105" i="6"/>
  <c r="M99" i="6"/>
  <c r="M88" i="6"/>
  <c r="M57" i="6"/>
  <c r="M58" i="6"/>
  <c r="M59" i="6"/>
  <c r="M60" i="6"/>
  <c r="M61" i="6"/>
  <c r="M62" i="6"/>
  <c r="M63" i="6"/>
  <c r="M64" i="6"/>
  <c r="M65" i="6"/>
  <c r="M56" i="6"/>
  <c r="M51" i="6"/>
  <c r="M52" i="6"/>
  <c r="M53" i="6"/>
  <c r="M54" i="6"/>
  <c r="M50" i="6"/>
  <c r="M36" i="6"/>
  <c r="M37" i="6"/>
  <c r="M38" i="6"/>
  <c r="M39" i="6"/>
  <c r="M40" i="6"/>
  <c r="M41" i="6"/>
  <c r="M42" i="6"/>
  <c r="M43" i="6"/>
  <c r="M44" i="6"/>
  <c r="M45" i="6"/>
  <c r="M46" i="6"/>
  <c r="M47" i="6"/>
  <c r="M48" i="6"/>
  <c r="M35" i="6"/>
  <c r="M22" i="6"/>
  <c r="M23" i="6"/>
  <c r="M24" i="6"/>
  <c r="M25" i="6"/>
  <c r="M26" i="6"/>
  <c r="M27" i="6"/>
  <c r="M28" i="6"/>
  <c r="M29" i="6"/>
  <c r="M30" i="6"/>
  <c r="M31" i="6"/>
  <c r="M32" i="6"/>
  <c r="M33" i="6"/>
  <c r="M21" i="6"/>
  <c r="M19" i="6"/>
  <c r="M18"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07" i="6"/>
  <c r="L100" i="6"/>
  <c r="L101" i="6"/>
  <c r="L102" i="6"/>
  <c r="L103" i="6"/>
  <c r="L104" i="6"/>
  <c r="L105" i="6"/>
  <c r="L99" i="6"/>
  <c r="L88" i="6"/>
  <c r="L57" i="6"/>
  <c r="L58" i="6"/>
  <c r="L59" i="6"/>
  <c r="L60" i="6"/>
  <c r="L61" i="6"/>
  <c r="L62" i="6"/>
  <c r="L63" i="6"/>
  <c r="L64" i="6"/>
  <c r="L65" i="6"/>
  <c r="L56" i="6"/>
  <c r="L51" i="6"/>
  <c r="L52" i="6"/>
  <c r="L53" i="6"/>
  <c r="L54" i="6"/>
  <c r="L50" i="6"/>
  <c r="L36" i="6"/>
  <c r="L37" i="6"/>
  <c r="L38" i="6"/>
  <c r="L39" i="6"/>
  <c r="L40" i="6"/>
  <c r="L41" i="6"/>
  <c r="L42" i="6"/>
  <c r="L43" i="6"/>
  <c r="L44" i="6"/>
  <c r="L45" i="6"/>
  <c r="L46" i="6"/>
  <c r="L47" i="6"/>
  <c r="L48" i="6"/>
  <c r="L35" i="6"/>
  <c r="L22" i="6"/>
  <c r="L23" i="6"/>
  <c r="L24" i="6"/>
  <c r="L25" i="6"/>
  <c r="L26" i="6"/>
  <c r="L27" i="6"/>
  <c r="L28" i="6"/>
  <c r="L29" i="6"/>
  <c r="L30" i="6"/>
  <c r="L31" i="6"/>
  <c r="L32" i="6"/>
  <c r="L33" i="6"/>
  <c r="L21" i="6"/>
  <c r="L19" i="6"/>
  <c r="L18"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5" i="6"/>
  <c r="H104" i="6"/>
  <c r="H103" i="6"/>
  <c r="H102" i="6"/>
  <c r="H101" i="6"/>
  <c r="H100" i="6"/>
  <c r="H99" i="6"/>
  <c r="H65" i="6"/>
  <c r="H64" i="6"/>
  <c r="H63" i="6"/>
  <c r="H62" i="6"/>
  <c r="H61" i="6"/>
  <c r="H60" i="6"/>
  <c r="H59" i="6"/>
  <c r="H58" i="6"/>
  <c r="H57" i="6"/>
  <c r="H56" i="6"/>
  <c r="H54" i="6"/>
  <c r="H53" i="6"/>
  <c r="H52" i="6"/>
  <c r="H51" i="6"/>
  <c r="H50" i="6"/>
  <c r="H48" i="6"/>
  <c r="H47" i="6"/>
  <c r="H46" i="6"/>
  <c r="H45" i="6"/>
  <c r="H44" i="6"/>
  <c r="H43" i="6"/>
  <c r="H42" i="6"/>
  <c r="H41" i="6"/>
  <c r="H40" i="6"/>
  <c r="H39" i="6"/>
  <c r="H38" i="6"/>
  <c r="H37" i="6"/>
  <c r="H36" i="6"/>
  <c r="H35" i="6"/>
  <c r="H33" i="6"/>
  <c r="H32" i="6"/>
  <c r="H31" i="6"/>
  <c r="H30" i="6"/>
  <c r="H29" i="6"/>
  <c r="H28" i="6"/>
  <c r="H27" i="6"/>
  <c r="H26" i="6"/>
  <c r="H25" i="6"/>
  <c r="H24" i="6"/>
  <c r="H23" i="6"/>
  <c r="H22" i="6"/>
  <c r="H21" i="6"/>
  <c r="H19" i="6"/>
  <c r="H18" i="6"/>
  <c r="G19" i="6"/>
  <c r="G18" i="6"/>
  <c r="G142" i="6"/>
  <c r="G141" i="6"/>
  <c r="G140" i="6"/>
  <c r="G139" i="6"/>
  <c r="G138" i="6"/>
  <c r="G137" i="6"/>
  <c r="G136" i="6"/>
  <c r="G135" i="6"/>
  <c r="G134" i="6"/>
  <c r="G133" i="6"/>
  <c r="G132" i="6"/>
  <c r="G131" i="6"/>
  <c r="G130" i="6"/>
  <c r="G129" i="6"/>
  <c r="G128" i="6"/>
  <c r="G127" i="6"/>
  <c r="G126" i="6"/>
  <c r="G125" i="6"/>
  <c r="G124" i="6"/>
  <c r="G123" i="6"/>
  <c r="G122" i="6"/>
  <c r="G121" i="6"/>
  <c r="G120" i="6"/>
  <c r="G119" i="6"/>
  <c r="G118" i="6"/>
  <c r="G117" i="6"/>
  <c r="G116" i="6"/>
  <c r="G115" i="6"/>
  <c r="G114" i="6"/>
  <c r="G113" i="6"/>
  <c r="G112" i="6"/>
  <c r="G111" i="6"/>
  <c r="G110" i="6"/>
  <c r="G109" i="6"/>
  <c r="G108" i="6"/>
  <c r="G107" i="6"/>
  <c r="G105" i="6"/>
  <c r="G104" i="6"/>
  <c r="G103" i="6"/>
  <c r="G102" i="6"/>
  <c r="G101" i="6"/>
  <c r="G100" i="6"/>
  <c r="G99" i="6"/>
  <c r="G65" i="6"/>
  <c r="G64" i="6"/>
  <c r="G63" i="6"/>
  <c r="G62" i="6"/>
  <c r="G61" i="6"/>
  <c r="G60" i="6"/>
  <c r="G59" i="6"/>
  <c r="G58" i="6"/>
  <c r="G57" i="6"/>
  <c r="G56" i="6"/>
  <c r="G54" i="6"/>
  <c r="G53" i="6"/>
  <c r="G52" i="6"/>
  <c r="G51" i="6"/>
  <c r="G50" i="6"/>
  <c r="G48" i="6"/>
  <c r="G47" i="6"/>
  <c r="G46" i="6"/>
  <c r="G45" i="6"/>
  <c r="G44" i="6"/>
  <c r="G43" i="6"/>
  <c r="G42" i="6"/>
  <c r="G41" i="6"/>
  <c r="G40" i="6"/>
  <c r="G39" i="6"/>
  <c r="G38" i="6"/>
  <c r="G37" i="6"/>
  <c r="G36" i="6"/>
  <c r="G35" i="6"/>
  <c r="G33" i="6"/>
  <c r="G32" i="6"/>
  <c r="G31" i="6"/>
  <c r="G30" i="6"/>
  <c r="G29" i="6"/>
  <c r="G28" i="6"/>
  <c r="G27" i="6"/>
  <c r="G26" i="6"/>
  <c r="G25" i="6"/>
  <c r="G24" i="6"/>
  <c r="G23" i="6"/>
  <c r="G22" i="6"/>
  <c r="G21" i="6"/>
  <c r="D47" i="6"/>
  <c r="D28" i="6"/>
  <c r="D19" i="6"/>
  <c r="D18" i="6"/>
  <c r="D16" i="6"/>
  <c r="D15" i="6"/>
  <c r="C108" i="6"/>
  <c r="C109" i="6" s="1"/>
  <c r="C110" i="6" s="1"/>
  <c r="C111" i="6" s="1"/>
  <c r="C112" i="6" s="1"/>
  <c r="C113" i="6" s="1"/>
  <c r="C114" i="6" s="1"/>
  <c r="C115" i="6" s="1"/>
  <c r="C116" i="6" s="1"/>
  <c r="C117" i="6" s="1"/>
  <c r="C118" i="6" s="1"/>
  <c r="C119" i="6" s="1"/>
  <c r="C120" i="6" s="1"/>
  <c r="C121" i="6" s="1"/>
  <c r="C122" i="6" s="1"/>
  <c r="C123" i="6" s="1"/>
  <c r="C124" i="6" s="1"/>
  <c r="C125" i="6" s="1"/>
  <c r="C126" i="6" s="1"/>
  <c r="C127" i="6" s="1"/>
  <c r="C128" i="6" s="1"/>
  <c r="C129" i="6" s="1"/>
  <c r="C130" i="6" s="1"/>
  <c r="C131" i="6" s="1"/>
  <c r="C132" i="6" s="1"/>
  <c r="C133" i="6" s="1"/>
  <c r="C134" i="6" s="1"/>
  <c r="C135" i="6" s="1"/>
  <c r="C136" i="6" s="1"/>
  <c r="C137" i="6" s="1"/>
  <c r="C138" i="6" s="1"/>
  <c r="C139" i="6" s="1"/>
  <c r="C140" i="6" s="1"/>
  <c r="C141" i="6" s="1"/>
  <c r="C142" i="6" s="1"/>
  <c r="C107" i="6"/>
  <c r="C100" i="6"/>
  <c r="C101" i="6" s="1"/>
  <c r="C102" i="6" s="1"/>
  <c r="C103" i="6" s="1"/>
  <c r="C104" i="6" s="1"/>
  <c r="C105" i="6" s="1"/>
  <c r="C99" i="6"/>
  <c r="C90" i="6"/>
  <c r="C91" i="6"/>
  <c r="C92" i="6"/>
  <c r="C93" i="6"/>
  <c r="C94" i="6"/>
  <c r="C95" i="6"/>
  <c r="C96" i="6"/>
  <c r="C97" i="6"/>
  <c r="C89" i="6"/>
  <c r="C68" i="6"/>
  <c r="C69" i="6" s="1"/>
  <c r="C70" i="6" s="1"/>
  <c r="C71" i="6" s="1"/>
  <c r="C72" i="6" s="1"/>
  <c r="C73" i="6" s="1"/>
  <c r="C74" i="6" s="1"/>
  <c r="C75" i="6" s="1"/>
  <c r="C76" i="6" s="1"/>
  <c r="C77" i="6" s="1"/>
  <c r="C78" i="6" s="1"/>
  <c r="C79" i="6" s="1"/>
  <c r="C80" i="6" s="1"/>
  <c r="C81" i="6" s="1"/>
  <c r="C82" i="6" s="1"/>
  <c r="C83" i="6" s="1"/>
  <c r="C84" i="6" s="1"/>
  <c r="C85" i="6" s="1"/>
  <c r="C86" i="6" s="1"/>
  <c r="C87" i="6" s="1"/>
  <c r="C67" i="6"/>
  <c r="C57" i="6"/>
  <c r="C58" i="6" s="1"/>
  <c r="C59" i="6" s="1"/>
  <c r="C60" i="6" s="1"/>
  <c r="C61" i="6" s="1"/>
  <c r="C62" i="6" s="1"/>
  <c r="C63" i="6" s="1"/>
  <c r="C64" i="6" s="1"/>
  <c r="C65" i="6" s="1"/>
  <c r="C56" i="6"/>
  <c r="C51" i="6"/>
  <c r="C52" i="6" s="1"/>
  <c r="C53" i="6" s="1"/>
  <c r="C54" i="6" s="1"/>
  <c r="C50" i="6"/>
  <c r="I36" i="6"/>
  <c r="I37" i="6"/>
  <c r="I38" i="6"/>
  <c r="I39" i="6"/>
  <c r="I40" i="6"/>
  <c r="I41" i="6"/>
  <c r="I42" i="6"/>
  <c r="I43" i="6"/>
  <c r="I44" i="6"/>
  <c r="I45" i="6"/>
  <c r="I46" i="6"/>
  <c r="I47" i="6"/>
  <c r="I48" i="6"/>
  <c r="I35" i="6"/>
  <c r="C36" i="6"/>
  <c r="C37" i="6" s="1"/>
  <c r="C38" i="6" s="1"/>
  <c r="C39" i="6" s="1"/>
  <c r="C40" i="6" s="1"/>
  <c r="C41" i="6" s="1"/>
  <c r="C42" i="6" s="1"/>
  <c r="C43" i="6" s="1"/>
  <c r="C44" i="6" s="1"/>
  <c r="C45" i="6" s="1"/>
  <c r="C46" i="6" s="1"/>
  <c r="C47" i="6" s="1"/>
  <c r="C48" i="6" s="1"/>
  <c r="C35" i="6"/>
  <c r="I33" i="6"/>
  <c r="I32" i="6"/>
  <c r="I31" i="6"/>
  <c r="I30" i="6"/>
  <c r="I29" i="6"/>
  <c r="I28" i="6"/>
  <c r="I27" i="6"/>
  <c r="I26" i="6"/>
  <c r="I25" i="6"/>
  <c r="I24" i="6"/>
  <c r="I23" i="6"/>
  <c r="I22" i="6"/>
  <c r="I21" i="6"/>
  <c r="I19" i="6"/>
  <c r="I18" i="6"/>
  <c r="K139" i="6"/>
  <c r="K138" i="6"/>
  <c r="K137" i="6"/>
  <c r="K136" i="6"/>
  <c r="K135" i="6"/>
  <c r="K134" i="6"/>
  <c r="K133" i="6"/>
  <c r="K132" i="6"/>
  <c r="K131" i="6"/>
  <c r="K130" i="6"/>
  <c r="K129" i="6"/>
  <c r="K128" i="6"/>
  <c r="K127" i="6"/>
  <c r="K126" i="6"/>
  <c r="K125" i="6"/>
  <c r="K124" i="6"/>
  <c r="K123" i="6"/>
  <c r="K122" i="6"/>
  <c r="K121" i="6"/>
  <c r="K120" i="6"/>
  <c r="K119" i="6"/>
  <c r="K118" i="6"/>
  <c r="K117" i="6"/>
  <c r="K116" i="6"/>
  <c r="K115" i="6"/>
  <c r="K114" i="6"/>
  <c r="K113" i="6"/>
  <c r="K51" i="6"/>
  <c r="K29" i="6"/>
  <c r="K21" i="6"/>
  <c r="K20" i="6"/>
  <c r="O20" i="6" s="1"/>
  <c r="K17" i="6"/>
  <c r="P17" i="6" s="1"/>
  <c r="K16" i="6"/>
  <c r="N16" i="6" s="1"/>
  <c r="K15" i="6"/>
  <c r="P20" i="6" l="1"/>
  <c r="N20" i="6"/>
  <c r="P16" i="6"/>
  <c r="O17" i="6"/>
  <c r="P15" i="6"/>
  <c r="N17" i="6"/>
  <c r="N15" i="6"/>
  <c r="O70"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07" i="6"/>
  <c r="I100" i="6"/>
  <c r="I101" i="6"/>
  <c r="I102" i="6"/>
  <c r="I103" i="6"/>
  <c r="I104" i="6"/>
  <c r="I105" i="6"/>
  <c r="I99" i="6"/>
  <c r="I57" i="6"/>
  <c r="I58" i="6"/>
  <c r="I59" i="6"/>
  <c r="I60" i="6"/>
  <c r="I61" i="6"/>
  <c r="I62" i="6"/>
  <c r="I63" i="6"/>
  <c r="I64" i="6"/>
  <c r="I65" i="6"/>
  <c r="I56" i="6"/>
  <c r="I51" i="6"/>
  <c r="I52" i="6"/>
  <c r="I53" i="6"/>
  <c r="I54" i="6"/>
  <c r="I50" i="6"/>
  <c r="J47" i="6"/>
  <c r="J28" i="6"/>
  <c r="J19" i="6"/>
  <c r="J18" i="6"/>
  <c r="J16" i="6"/>
  <c r="O16" i="6" s="1"/>
  <c r="J15" i="6"/>
  <c r="O15" i="6" s="1"/>
  <c r="P146" i="6"/>
  <c r="O146" i="6"/>
  <c r="N146" i="6"/>
  <c r="M146" i="6"/>
  <c r="L146" i="6"/>
  <c r="P145" i="6"/>
  <c r="O145" i="6"/>
  <c r="N145" i="6"/>
  <c r="M145" i="6"/>
  <c r="L145" i="6"/>
  <c r="P144" i="6"/>
  <c r="O144" i="6"/>
  <c r="N144" i="6"/>
  <c r="M144" i="6"/>
  <c r="L144" i="6"/>
  <c r="P143" i="6"/>
  <c r="N143" i="6"/>
  <c r="M143" i="6"/>
  <c r="L143" i="6"/>
  <c r="O112" i="6"/>
  <c r="O111" i="6"/>
  <c r="O110" i="6"/>
  <c r="O109" i="6"/>
  <c r="O108" i="6"/>
  <c r="O107" i="6"/>
  <c r="P106" i="6"/>
  <c r="O106" i="6"/>
  <c r="N106" i="6"/>
  <c r="M106" i="6"/>
  <c r="L106" i="6"/>
  <c r="O105" i="6"/>
  <c r="O104" i="6"/>
  <c r="O103" i="6"/>
  <c r="O102" i="6"/>
  <c r="O101" i="6"/>
  <c r="O100" i="6"/>
  <c r="O99" i="6"/>
  <c r="P98" i="6"/>
  <c r="O98" i="6"/>
  <c r="N98" i="6"/>
  <c r="M98" i="6"/>
  <c r="L98" i="6"/>
  <c r="O97" i="6"/>
  <c r="O96" i="6"/>
  <c r="O95" i="6"/>
  <c r="O94" i="6"/>
  <c r="O93" i="6"/>
  <c r="O92" i="6"/>
  <c r="O91" i="6"/>
  <c r="O90" i="6"/>
  <c r="O89" i="6"/>
  <c r="O88" i="6"/>
  <c r="O87" i="6"/>
  <c r="O86" i="6"/>
  <c r="O85" i="6"/>
  <c r="O84" i="6"/>
  <c r="O83" i="6"/>
  <c r="O82" i="6"/>
  <c r="O81" i="6"/>
  <c r="O80" i="6"/>
  <c r="O79" i="6"/>
  <c r="O78" i="6"/>
  <c r="O77" i="6"/>
  <c r="O76" i="6"/>
  <c r="O75" i="6"/>
  <c r="O74" i="6"/>
  <c r="O73" i="6"/>
  <c r="O72" i="6"/>
  <c r="O69" i="6"/>
  <c r="P66" i="6"/>
  <c r="O66" i="6"/>
  <c r="N66" i="6"/>
  <c r="M66" i="6"/>
  <c r="L66" i="6"/>
  <c r="O65" i="6"/>
  <c r="O64" i="6"/>
  <c r="O63" i="6"/>
  <c r="O62" i="6"/>
  <c r="O61" i="6"/>
  <c r="O60" i="6"/>
  <c r="O59" i="6"/>
  <c r="O58" i="6"/>
  <c r="O57" i="6"/>
  <c r="O56" i="6"/>
  <c r="P55" i="6"/>
  <c r="O55" i="6"/>
  <c r="N55" i="6"/>
  <c r="M55" i="6"/>
  <c r="L55" i="6"/>
  <c r="O54" i="6"/>
  <c r="O53" i="6"/>
  <c r="O52" i="6"/>
  <c r="O50" i="6"/>
  <c r="P49" i="6"/>
  <c r="O49" i="6"/>
  <c r="N49" i="6"/>
  <c r="M49" i="6"/>
  <c r="L49" i="6"/>
  <c r="O48" i="6"/>
  <c r="O46" i="6"/>
  <c r="O45" i="6"/>
  <c r="O44" i="6"/>
  <c r="O43" i="6"/>
  <c r="O42" i="6"/>
  <c r="O41" i="6"/>
  <c r="O40" i="6"/>
  <c r="O39" i="6"/>
  <c r="O38" i="6"/>
  <c r="O37" i="6"/>
  <c r="O36" i="6"/>
  <c r="O35" i="6"/>
  <c r="P34" i="6"/>
  <c r="O34" i="6"/>
  <c r="N34" i="6"/>
  <c r="M34" i="6"/>
  <c r="L34" i="6"/>
  <c r="O33" i="6"/>
  <c r="O32" i="6"/>
  <c r="O31" i="6"/>
  <c r="O30" i="6"/>
  <c r="O27" i="6"/>
  <c r="O26" i="6"/>
  <c r="O25" i="6"/>
  <c r="O24" i="6"/>
  <c r="O23" i="6"/>
  <c r="O22" i="6"/>
  <c r="M20" i="6"/>
  <c r="L20" i="6"/>
  <c r="M17" i="6"/>
  <c r="L17" i="6"/>
  <c r="M16" i="6"/>
  <c r="L16" i="6"/>
  <c r="M15" i="6"/>
  <c r="L15" i="6"/>
  <c r="P14" i="6"/>
  <c r="O14" i="6"/>
  <c r="N14" i="6"/>
  <c r="M14" i="6"/>
  <c r="L14" i="6"/>
  <c r="P13" i="6"/>
  <c r="O13" i="6"/>
  <c r="N13" i="6"/>
  <c r="M13" i="6"/>
  <c r="L13" i="6"/>
  <c r="P12" i="6"/>
  <c r="O12" i="6"/>
  <c r="N12" i="6"/>
  <c r="M12" i="6"/>
  <c r="L12" i="6"/>
  <c r="F108" i="3"/>
  <c r="H109" i="3"/>
  <c r="H108" i="3" s="1"/>
  <c r="H107" i="3" s="1"/>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2" i="3"/>
  <c r="G109" i="3"/>
  <c r="G108" i="3" s="1"/>
  <c r="G107" i="3" s="1"/>
  <c r="G106" i="3" s="1"/>
  <c r="G105" i="3" s="1"/>
  <c r="G104" i="3" s="1"/>
  <c r="G103" i="3" s="1"/>
  <c r="G102" i="3" s="1"/>
  <c r="G101" i="3" s="1"/>
  <c r="G100" i="3" s="1"/>
  <c r="G99" i="3" s="1"/>
  <c r="G98" i="3" s="1"/>
  <c r="G97" i="3" s="1"/>
  <c r="G96" i="3" s="1"/>
  <c r="G95" i="3" s="1"/>
  <c r="G94" i="3" s="1"/>
  <c r="G93" i="3" s="1"/>
  <c r="G92" i="3" s="1"/>
  <c r="G91" i="3" s="1"/>
  <c r="G90" i="3" s="1"/>
  <c r="G89" i="3" s="1"/>
  <c r="G88" i="3" s="1"/>
  <c r="G87" i="3" s="1"/>
  <c r="G86" i="3" s="1"/>
  <c r="G85" i="3" s="1"/>
  <c r="G84" i="3" s="1"/>
  <c r="G83" i="3" s="1"/>
  <c r="G82" i="3" s="1"/>
  <c r="G81" i="3" s="1"/>
  <c r="G80" i="3" s="1"/>
  <c r="G79" i="3" s="1"/>
  <c r="G78" i="3" s="1"/>
  <c r="G77" i="3" s="1"/>
  <c r="G76" i="3" s="1"/>
  <c r="G75" i="3" s="1"/>
  <c r="G74" i="3" s="1"/>
  <c r="G73" i="3" s="1"/>
  <c r="G72" i="3" s="1"/>
  <c r="G71" i="3" s="1"/>
  <c r="G70" i="3" s="1"/>
  <c r="G69" i="3" s="1"/>
  <c r="G68" i="3" s="1"/>
  <c r="G67" i="3" s="1"/>
  <c r="G66" i="3" s="1"/>
  <c r="G65" i="3" s="1"/>
  <c r="G64" i="3" s="1"/>
  <c r="G63" i="3" s="1"/>
  <c r="G62" i="3" s="1"/>
  <c r="G61" i="3" s="1"/>
  <c r="G60" i="3" s="1"/>
  <c r="G59" i="3" s="1"/>
  <c r="G58" i="3" s="1"/>
  <c r="G57" i="3" s="1"/>
  <c r="G56" i="3" s="1"/>
  <c r="G55" i="3" s="1"/>
  <c r="G54" i="3" s="1"/>
  <c r="G53" i="3" s="1"/>
  <c r="G52" i="3" s="1"/>
  <c r="G51" i="3" s="1"/>
  <c r="G50" i="3" s="1"/>
  <c r="G49" i="3" s="1"/>
  <c r="G48" i="3" s="1"/>
  <c r="G47" i="3" s="1"/>
  <c r="G46" i="3" s="1"/>
  <c r="G45" i="3" s="1"/>
  <c r="G44" i="3" s="1"/>
  <c r="G43" i="3" s="1"/>
  <c r="G42" i="3" s="1"/>
  <c r="G41" i="3" s="1"/>
  <c r="G40" i="3" s="1"/>
  <c r="G39" i="3" s="1"/>
  <c r="G38" i="3" s="1"/>
  <c r="G37" i="3" s="1"/>
  <c r="G36" i="3" s="1"/>
  <c r="G35" i="3" s="1"/>
  <c r="G34" i="3" s="1"/>
  <c r="G33" i="3" s="1"/>
  <c r="G32" i="3" s="1"/>
  <c r="G31" i="3" s="1"/>
  <c r="G30" i="3" s="1"/>
  <c r="G29" i="3" s="1"/>
  <c r="G28" i="3" s="1"/>
  <c r="G27" i="3" s="1"/>
  <c r="G26" i="3" s="1"/>
  <c r="G25" i="3" s="1"/>
  <c r="G24" i="3" s="1"/>
  <c r="G23" i="3" s="1"/>
  <c r="G22" i="3" s="1"/>
  <c r="G21" i="3" s="1"/>
  <c r="G20" i="3" s="1"/>
  <c r="G19" i="3" s="1"/>
  <c r="G18" i="3" s="1"/>
  <c r="G17" i="3" s="1"/>
  <c r="G16" i="3" s="1"/>
  <c r="G15" i="3" s="1"/>
  <c r="G14" i="3" s="1"/>
  <c r="G13" i="3" s="1"/>
  <c r="G12" i="3" s="1"/>
  <c r="R12" i="3"/>
  <c r="L27" i="3"/>
  <c r="L28" i="3"/>
  <c r="L29" i="3"/>
  <c r="L22" i="3"/>
  <c r="L23" i="3"/>
  <c r="L24" i="3"/>
  <c r="L25" i="3"/>
  <c r="L26"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0" i="3"/>
  <c r="R81" i="3"/>
  <c r="R82" i="3"/>
  <c r="R83" i="3"/>
  <c r="R84" i="3"/>
  <c r="R85" i="3"/>
  <c r="R86" i="3"/>
  <c r="R87" i="3"/>
  <c r="R88" i="3"/>
  <c r="R89" i="3"/>
  <c r="R90" i="3"/>
  <c r="R91" i="3"/>
  <c r="R92" i="3"/>
  <c r="R93" i="3"/>
  <c r="R94" i="3"/>
  <c r="R95" i="3"/>
  <c r="R96" i="3"/>
  <c r="R97" i="3"/>
  <c r="R98" i="3"/>
  <c r="R99" i="3"/>
  <c r="R100" i="3"/>
  <c r="R101" i="3"/>
  <c r="R102" i="3"/>
  <c r="R103" i="3"/>
  <c r="R104" i="3"/>
  <c r="R105" i="3"/>
  <c r="R106" i="3"/>
  <c r="R107" i="3"/>
  <c r="R108" i="3"/>
  <c r="R109"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O106" i="3"/>
  <c r="O107" i="3"/>
  <c r="O108" i="3"/>
  <c r="O109" i="3"/>
  <c r="I109" i="3" l="1"/>
  <c r="H106" i="3"/>
  <c r="I107" i="3"/>
  <c r="I108" i="3"/>
  <c r="H105" i="3" l="1"/>
  <c r="I106" i="3"/>
  <c r="H104" i="3" l="1"/>
  <c r="I105" i="3"/>
  <c r="O96" i="3"/>
  <c r="O97" i="3"/>
  <c r="O98" i="3"/>
  <c r="R13" i="3"/>
  <c r="R14" i="3"/>
  <c r="R15" i="3"/>
  <c r="R16" i="3"/>
  <c r="R17" i="3"/>
  <c r="R18" i="3"/>
  <c r="R19" i="3"/>
  <c r="R20" i="3"/>
  <c r="R21" i="3"/>
  <c r="R22" i="3"/>
  <c r="R23" i="3"/>
  <c r="R24" i="3"/>
  <c r="O12" i="3"/>
  <c r="O13" i="3"/>
  <c r="O14" i="3"/>
  <c r="O15" i="3"/>
  <c r="O16" i="3"/>
  <c r="O17" i="3"/>
  <c r="O18" i="3"/>
  <c r="O19" i="3"/>
  <c r="O20" i="3"/>
  <c r="O21" i="3"/>
  <c r="O22" i="3"/>
  <c r="O23" i="3"/>
  <c r="O24" i="3"/>
  <c r="L12" i="3"/>
  <c r="L13" i="3"/>
  <c r="L14" i="3"/>
  <c r="L15" i="3"/>
  <c r="L16" i="3"/>
  <c r="L17" i="3"/>
  <c r="L18" i="3"/>
  <c r="L19" i="3"/>
  <c r="L20" i="3"/>
  <c r="L21" i="3"/>
  <c r="O25" i="3"/>
  <c r="R25" i="3"/>
  <c r="H103" i="3" l="1"/>
  <c r="I104" i="3"/>
  <c r="R32" i="3"/>
  <c r="R31" i="3"/>
  <c r="R30" i="3"/>
  <c r="R29" i="3"/>
  <c r="R28" i="3"/>
  <c r="R27" i="3"/>
  <c r="R26" i="3"/>
  <c r="O26" i="3"/>
  <c r="O27" i="3"/>
  <c r="O28" i="3"/>
  <c r="O29" i="3"/>
  <c r="L30" i="3"/>
  <c r="O30" i="3"/>
  <c r="L31" i="3"/>
  <c r="O31" i="3"/>
  <c r="L32" i="3"/>
  <c r="O32" i="3"/>
  <c r="O93" i="3"/>
  <c r="O94" i="3"/>
  <c r="O95" i="3"/>
  <c r="O99" i="3"/>
  <c r="O100" i="3"/>
  <c r="O101" i="3"/>
  <c r="O102" i="3"/>
  <c r="O103" i="3"/>
  <c r="O104" i="3"/>
  <c r="O105" i="3"/>
  <c r="H102" i="3" l="1"/>
  <c r="I103" i="3"/>
  <c r="H101" i="3" l="1"/>
  <c r="I102" i="3"/>
  <c r="H100" i="3" l="1"/>
  <c r="I101" i="3"/>
  <c r="H99" i="3" l="1"/>
  <c r="I100" i="3"/>
  <c r="H98" i="3" l="1"/>
  <c r="I99" i="3"/>
  <c r="H97" i="3" l="1"/>
  <c r="I98" i="3"/>
  <c r="H96" i="3" l="1"/>
  <c r="I97" i="3"/>
  <c r="H95" i="3" l="1"/>
  <c r="I96" i="3"/>
  <c r="H94" i="3" l="1"/>
  <c r="I95" i="3"/>
  <c r="H93" i="3" l="1"/>
  <c r="I94" i="3"/>
  <c r="H92" i="3" l="1"/>
  <c r="I93" i="3"/>
  <c r="H91" i="3" l="1"/>
  <c r="I92" i="3"/>
  <c r="H90" i="3" l="1"/>
  <c r="I91" i="3"/>
  <c r="H89" i="3" l="1"/>
  <c r="I90" i="3"/>
  <c r="H88" i="3" l="1"/>
  <c r="I89" i="3"/>
  <c r="H87" i="3" l="1"/>
  <c r="I88" i="3"/>
  <c r="H86" i="3" l="1"/>
  <c r="I87" i="3"/>
  <c r="H85" i="3" l="1"/>
  <c r="I86" i="3"/>
  <c r="H84" i="3" l="1"/>
  <c r="I85" i="3"/>
  <c r="H83" i="3" l="1"/>
  <c r="I84" i="3"/>
  <c r="H82" i="3" l="1"/>
  <c r="I83" i="3"/>
  <c r="H81" i="3" l="1"/>
  <c r="I82" i="3"/>
  <c r="H80" i="3" l="1"/>
  <c r="I81" i="3"/>
  <c r="H79" i="3" l="1"/>
  <c r="I80" i="3"/>
  <c r="H78" i="3" l="1"/>
  <c r="I79" i="3"/>
  <c r="H77" i="3" l="1"/>
  <c r="I78" i="3"/>
  <c r="H76" i="3" l="1"/>
  <c r="I77" i="3"/>
  <c r="H75" i="3" l="1"/>
  <c r="I76" i="3"/>
  <c r="H74" i="3" l="1"/>
  <c r="I75" i="3"/>
  <c r="H73" i="3" l="1"/>
  <c r="I74" i="3"/>
  <c r="H72" i="3" l="1"/>
  <c r="I73" i="3"/>
  <c r="H71" i="3" l="1"/>
  <c r="I72" i="3"/>
  <c r="H70" i="3" l="1"/>
  <c r="I71" i="3"/>
  <c r="H69" i="3" l="1"/>
  <c r="I70" i="3"/>
  <c r="H68" i="3" l="1"/>
  <c r="I69" i="3"/>
  <c r="H67" i="3" l="1"/>
  <c r="I68" i="3"/>
  <c r="H66" i="3" l="1"/>
  <c r="I67" i="3"/>
  <c r="H65" i="3" l="1"/>
  <c r="I66" i="3"/>
  <c r="H64" i="3" l="1"/>
  <c r="I65" i="3"/>
  <c r="H63" i="3" l="1"/>
  <c r="I64" i="3"/>
  <c r="H62" i="3" l="1"/>
  <c r="I63" i="3"/>
  <c r="H61" i="3" l="1"/>
  <c r="I62" i="3"/>
  <c r="H60" i="3" l="1"/>
  <c r="I61" i="3"/>
  <c r="H59" i="3" l="1"/>
  <c r="I60" i="3"/>
  <c r="H58" i="3" l="1"/>
  <c r="I59" i="3"/>
  <c r="H57" i="3" l="1"/>
  <c r="I58" i="3"/>
  <c r="H56" i="3" l="1"/>
  <c r="I57" i="3"/>
  <c r="H55" i="3" l="1"/>
  <c r="I56" i="3"/>
  <c r="H54" i="3" l="1"/>
  <c r="I55" i="3"/>
  <c r="H53" i="3" l="1"/>
  <c r="I54" i="3"/>
  <c r="H52" i="3" l="1"/>
  <c r="I53" i="3"/>
  <c r="H51" i="3" l="1"/>
  <c r="I52" i="3"/>
  <c r="H50" i="3" l="1"/>
  <c r="I51" i="3"/>
  <c r="H49" i="3" l="1"/>
  <c r="I50" i="3"/>
  <c r="H48" i="3" l="1"/>
  <c r="I49" i="3"/>
  <c r="H47" i="3" l="1"/>
  <c r="I48" i="3"/>
  <c r="H46" i="3" l="1"/>
  <c r="I47" i="3"/>
  <c r="H45" i="3" l="1"/>
  <c r="I46" i="3"/>
  <c r="H44" i="3" l="1"/>
  <c r="I45" i="3"/>
  <c r="H43" i="3" l="1"/>
  <c r="I44" i="3"/>
  <c r="H42" i="3" l="1"/>
  <c r="I43" i="3"/>
  <c r="H41" i="3" l="1"/>
  <c r="I42" i="3"/>
  <c r="H40" i="3" l="1"/>
  <c r="I41" i="3"/>
  <c r="H39" i="3" l="1"/>
  <c r="I40" i="3"/>
  <c r="H38" i="3" l="1"/>
  <c r="I39" i="3"/>
  <c r="H37" i="3" l="1"/>
  <c r="I38" i="3"/>
  <c r="H36" i="3" l="1"/>
  <c r="I37" i="3"/>
  <c r="H35" i="3" l="1"/>
  <c r="I36" i="3"/>
  <c r="H34" i="3" l="1"/>
  <c r="I35" i="3"/>
  <c r="H33" i="3" l="1"/>
  <c r="I34" i="3"/>
  <c r="H32" i="3" l="1"/>
  <c r="I33" i="3"/>
  <c r="H31" i="3" l="1"/>
  <c r="I32" i="3"/>
  <c r="H30" i="3" l="1"/>
  <c r="I31" i="3"/>
  <c r="H29" i="3" l="1"/>
  <c r="I30" i="3"/>
  <c r="H28" i="3" l="1"/>
  <c r="I29" i="3"/>
  <c r="H27" i="3" l="1"/>
  <c r="I28" i="3"/>
  <c r="H26" i="3" l="1"/>
  <c r="I27" i="3"/>
  <c r="H25" i="3" l="1"/>
  <c r="I26" i="3"/>
  <c r="H24" i="3" l="1"/>
  <c r="I25" i="3"/>
  <c r="H23" i="3" l="1"/>
  <c r="I24" i="3"/>
  <c r="H22" i="3" l="1"/>
  <c r="I23" i="3"/>
  <c r="H21" i="3" l="1"/>
  <c r="I22" i="3"/>
  <c r="H20" i="3" l="1"/>
  <c r="I21" i="3"/>
  <c r="H19" i="3" l="1"/>
  <c r="I20" i="3"/>
  <c r="H18" i="3" l="1"/>
  <c r="I19" i="3"/>
  <c r="H17" i="3" l="1"/>
  <c r="I18" i="3"/>
  <c r="H16" i="3" l="1"/>
  <c r="I17" i="3"/>
  <c r="H15" i="3" l="1"/>
  <c r="I16" i="3"/>
  <c r="H14" i="3" l="1"/>
  <c r="I15" i="3"/>
  <c r="H13" i="3" l="1"/>
  <c r="I14" i="3"/>
  <c r="H12" i="3" l="1"/>
  <c r="I12" i="3" s="1"/>
  <c r="I13" i="3"/>
  <c r="N67" i="6" l="1"/>
  <c r="N68" i="6"/>
  <c r="N79" i="6"/>
  <c r="N97" i="6"/>
  <c r="N82" i="6"/>
  <c r="N81" i="6"/>
  <c r="N73" i="6"/>
  <c r="N94" i="6"/>
  <c r="N69" i="6"/>
  <c r="N95" i="6"/>
  <c r="N76" i="6"/>
  <c r="N75" i="6"/>
  <c r="N93" i="6"/>
  <c r="N85" i="6"/>
  <c r="N92" i="6"/>
  <c r="N91" i="6"/>
  <c r="N70" i="6"/>
  <c r="N84" i="6"/>
  <c r="N74" i="6"/>
  <c r="N80" i="6"/>
  <c r="N90" i="6"/>
  <c r="N89" i="6"/>
  <c r="N83" i="6"/>
  <c r="N96" i="6"/>
  <c r="N86" i="6"/>
  <c r="N78" i="6"/>
  <c r="N72" i="6"/>
  <c r="N87" i="6"/>
  <c r="N77" i="6"/>
  <c r="N71" i="6"/>
  <c r="H85" i="6"/>
  <c r="H81" i="6"/>
  <c r="H80" i="6"/>
  <c r="H76" i="6"/>
  <c r="H73" i="6"/>
  <c r="H67" i="6"/>
  <c r="H69" i="6"/>
  <c r="H79" i="6"/>
  <c r="H70" i="6"/>
  <c r="H74" i="6"/>
  <c r="H68" i="6"/>
  <c r="H82" i="6"/>
  <c r="H72" i="6"/>
  <c r="H75" i="6"/>
  <c r="H86" i="6"/>
  <c r="H84" i="6"/>
  <c r="H77" i="6"/>
  <c r="H83" i="6"/>
  <c r="H71" i="6"/>
  <c r="H78" i="6"/>
  <c r="L93" i="6"/>
  <c r="G67" i="6"/>
  <c r="L67" i="6" s="1"/>
  <c r="P67" i="6"/>
  <c r="G78" i="6"/>
  <c r="P78" i="6" s="1"/>
  <c r="G86" i="6"/>
  <c r="L86" i="6" s="1"/>
  <c r="P86" i="6"/>
  <c r="G81" i="6"/>
  <c r="L81" i="6" s="1"/>
  <c r="M81" i="6"/>
  <c r="G76" i="6"/>
  <c r="L76" i="6" s="1"/>
  <c r="M76" i="6"/>
  <c r="G69" i="6"/>
  <c r="P69" i="6" s="1"/>
  <c r="G68" i="6"/>
  <c r="L68" i="6" s="1"/>
  <c r="P68" i="6"/>
  <c r="L89" i="6"/>
  <c r="M89" i="6"/>
  <c r="G79" i="6"/>
  <c r="L79" i="6" s="1"/>
  <c r="P79" i="6"/>
  <c r="G74" i="6"/>
  <c r="M74" i="6" s="1"/>
  <c r="G82" i="6"/>
  <c r="L82" i="6" s="1"/>
  <c r="M82" i="6"/>
  <c r="G73" i="6"/>
  <c r="L73" i="6" s="1"/>
  <c r="M73" i="6"/>
  <c r="L95" i="6"/>
  <c r="M95" i="6"/>
  <c r="P97" i="6"/>
  <c r="G83" i="6"/>
  <c r="L83" i="6" s="1"/>
  <c r="P83" i="6"/>
  <c r="G70" i="6"/>
  <c r="L70" i="6" s="1"/>
  <c r="P70" i="6"/>
  <c r="L92" i="6"/>
  <c r="M92" i="6"/>
  <c r="M90" i="6"/>
  <c r="G72" i="6"/>
  <c r="L72" i="6" s="1"/>
  <c r="P72" i="6"/>
  <c r="G85" i="6"/>
  <c r="P85" i="6" s="1"/>
  <c r="M85" i="6"/>
  <c r="L96" i="6"/>
  <c r="P96" i="6"/>
  <c r="G84" i="6"/>
  <c r="M84" i="6" s="1"/>
  <c r="G80" i="6"/>
  <c r="M80" i="6" s="1"/>
  <c r="P80" i="6"/>
  <c r="G71" i="6"/>
  <c r="M71" i="6" s="1"/>
  <c r="M94" i="6"/>
  <c r="P94" i="6"/>
  <c r="G77" i="6"/>
  <c r="P77" i="6" s="1"/>
  <c r="G75" i="6"/>
  <c r="L75" i="6" s="1"/>
  <c r="M75" i="6"/>
  <c r="P91" i="6"/>
  <c r="M91" i="6"/>
  <c r="P87" i="6"/>
  <c r="M87" i="6"/>
  <c r="L87" i="6"/>
  <c r="L97" i="6" l="1"/>
  <c r="M78" i="6"/>
  <c r="L84" i="6"/>
  <c r="M67" i="6"/>
  <c r="M69" i="6"/>
  <c r="P92" i="6"/>
  <c r="L74" i="6"/>
  <c r="P95" i="6"/>
  <c r="P93" i="6"/>
  <c r="P74" i="6"/>
  <c r="P76" i="6"/>
  <c r="P71" i="6"/>
  <c r="P73" i="6"/>
  <c r="P89" i="6"/>
  <c r="P81" i="6"/>
  <c r="M93" i="6"/>
  <c r="L77" i="6"/>
  <c r="M70" i="6"/>
  <c r="L91" i="6"/>
  <c r="L71" i="6"/>
  <c r="L85" i="6"/>
  <c r="P90" i="6"/>
  <c r="L90" i="6"/>
  <c r="M77" i="6"/>
  <c r="M96" i="6"/>
  <c r="P84" i="6"/>
  <c r="L94" i="6"/>
  <c r="P75" i="6"/>
  <c r="M83" i="6"/>
  <c r="M86" i="6"/>
  <c r="M97" i="6"/>
  <c r="L78" i="6"/>
  <c r="M79" i="6"/>
  <c r="L69" i="6"/>
  <c r="L80" i="6"/>
  <c r="M72" i="6"/>
  <c r="P82" i="6"/>
  <c r="M68" i="6"/>
</calcChain>
</file>

<file path=xl/sharedStrings.xml><?xml version="1.0" encoding="utf-8"?>
<sst xmlns="http://schemas.openxmlformats.org/spreadsheetml/2006/main" count="1978" uniqueCount="128">
  <si>
    <t>Reference</t>
  </si>
  <si>
    <t>Location</t>
  </si>
  <si>
    <t>Map</t>
  </si>
  <si>
    <t xml:space="preserve">Cross </t>
  </si>
  <si>
    <t>Model</t>
  </si>
  <si>
    <t>Page:</t>
  </si>
  <si>
    <t>of</t>
  </si>
  <si>
    <t>PROJECT NAME:</t>
  </si>
  <si>
    <t>COMPANY:</t>
  </si>
  <si>
    <t>Community(ies):</t>
  </si>
  <si>
    <t>Date:</t>
  </si>
  <si>
    <t>Flooding Source(s):</t>
  </si>
  <si>
    <t>Floodway Width (ft)</t>
  </si>
  <si>
    <t>Section #</t>
  </si>
  <si>
    <t>Channel Distance (ft)</t>
  </si>
  <si>
    <t>Cumulative Channel Distance (ft)</t>
  </si>
  <si>
    <t>% Difference</t>
  </si>
  <si>
    <t>+/- 5% of Model</t>
  </si>
  <si>
    <t>Base Floodplain Width (ft)</t>
  </si>
  <si>
    <t>COMPLETED BY:</t>
  </si>
  <si>
    <t>Stream</t>
  </si>
  <si>
    <t>Station</t>
  </si>
  <si>
    <t>Comments</t>
  </si>
  <si>
    <t>+/- 25 Feet</t>
  </si>
  <si>
    <t>Requirements</t>
  </si>
  <si>
    <t>What Is Submitted</t>
  </si>
  <si>
    <t>Item No.</t>
  </si>
  <si>
    <t>Digital Optional</t>
  </si>
  <si>
    <t>Digital Required</t>
  </si>
  <si>
    <t>Digital</t>
  </si>
  <si>
    <t>Hard Copy</t>
  </si>
  <si>
    <t>Report Text</t>
  </si>
  <si>
    <t>3.2.a</t>
  </si>
  <si>
    <t>Hydraulic and/or Hydrologic Models</t>
  </si>
  <si>
    <t>3.2.b</t>
  </si>
  <si>
    <t>Hydraulic and/or Hydrologic Reports and Cross-Sections</t>
  </si>
  <si>
    <t>Proposed Construction Plans and/or As-Built Survey Information</t>
  </si>
  <si>
    <t>FEMA MT-2 Forms</t>
  </si>
  <si>
    <t>NFIP Regulation Requirements/Notifications</t>
  </si>
  <si>
    <t>Floodplain Workmaps</t>
  </si>
  <si>
    <t>Annotated FIRM Panels</t>
  </si>
  <si>
    <t>3.8.a</t>
  </si>
  <si>
    <t>Comparison Tables</t>
  </si>
  <si>
    <t>3.8.b</t>
  </si>
  <si>
    <t>Comparison Profile</t>
  </si>
  <si>
    <t>Annotated Floodway Data Table</t>
  </si>
  <si>
    <t>Agreement Checklists</t>
  </si>
  <si>
    <t>Other Items</t>
  </si>
  <si>
    <t>SOURCE DATA</t>
  </si>
  <si>
    <t>COMPARISONS</t>
  </si>
  <si>
    <t>HYDRAULIC CROSS-SECTION INFO.</t>
  </si>
  <si>
    <t>BASE FLOOD ELEVATIONS (NAVD)</t>
  </si>
  <si>
    <t>Effective Cross-Section ID (Letter)</t>
  </si>
  <si>
    <t>Corrected Effective Cross-Section ID</t>
  </si>
  <si>
    <t>Corrected Effective Stream Station</t>
  </si>
  <si>
    <t>Existing Cross-Section ID</t>
  </si>
  <si>
    <t>Proposed Cross-Section ID</t>
  </si>
  <si>
    <t>Proposed Stream Station</t>
  </si>
  <si>
    <t>EFFECTIVE</t>
  </si>
  <si>
    <t>DUP. EFF.</t>
  </si>
  <si>
    <t>COR. EFF.</t>
  </si>
  <si>
    <t>EXISTING</t>
  </si>
  <si>
    <t>PROPOSED</t>
  </si>
  <si>
    <t>DUP. EFF vs. EFF.</t>
  </si>
  <si>
    <t>COR. EFF. vs. EFF.</t>
  </si>
  <si>
    <t>PP. vs. COR. EFF.</t>
  </si>
  <si>
    <t>PP. vs. EFF.</t>
  </si>
  <si>
    <t>BFE</t>
  </si>
  <si>
    <t>-- = Not applicable or no direct comparison available</t>
  </si>
  <si>
    <r>
      <t>5225.98</t>
    </r>
    <r>
      <rPr>
        <b/>
        <i/>
        <sz val="10"/>
        <rFont val="Arial"/>
        <family val="2"/>
      </rPr>
      <t xml:space="preserve"> </t>
    </r>
    <r>
      <rPr>
        <sz val="10"/>
        <rFont val="Arial"/>
        <family val="2"/>
      </rPr>
      <t>= Interpolated value or value pulled directly from the effective FIS profile</t>
    </r>
  </si>
  <si>
    <t>0.2% Floodplain Width (ft)</t>
  </si>
  <si>
    <r>
      <t xml:space="preserve">Adapted from </t>
    </r>
    <r>
      <rPr>
        <i/>
        <u/>
        <sz val="10"/>
        <rFont val="Arial"/>
        <family val="2"/>
      </rPr>
      <t>Digital Letter of Map Change (DLOMC) Guidelines</t>
    </r>
    <r>
      <rPr>
        <sz val="10"/>
        <rFont val="Arial"/>
        <family val="2"/>
      </rPr>
      <t>, prepared by  ICON Engineering, Inc. May 2010</t>
    </r>
  </si>
  <si>
    <t>Available here.</t>
  </si>
  <si>
    <r>
      <t xml:space="preserve">Adapted from </t>
    </r>
    <r>
      <rPr>
        <i/>
        <u/>
        <sz val="9"/>
        <rFont val="Arial"/>
        <family val="2"/>
      </rPr>
      <t>Digital Letter of Map Change (DLOMC) Guidelines</t>
    </r>
    <r>
      <rPr>
        <sz val="9"/>
        <rFont val="Arial"/>
        <family val="2"/>
      </rPr>
      <t>, prepared by  ICON Engineering, Inc. May 2010</t>
    </r>
  </si>
  <si>
    <t>FLOODING SOURCE:</t>
  </si>
  <si>
    <t>Diff. (ft)</t>
  </si>
  <si>
    <t>CWCB LOMC Submittal - Agreement Table</t>
  </si>
  <si>
    <t>CWCB LOMC Submittal - BFE Comparison Table</t>
  </si>
  <si>
    <t>CWCB LOMC SUBMITTAL CHECKLIST</t>
  </si>
  <si>
    <t xml:space="preserve">Item </t>
  </si>
  <si>
    <t>CWCB LOMC Documentation Submittal Item</t>
  </si>
  <si>
    <t>CD/DVD Media (or equivalent)</t>
  </si>
  <si>
    <t>2023 Fountain Creek Restoration Projects LOMR</t>
  </si>
  <si>
    <t>Matrix Design Group</t>
  </si>
  <si>
    <t>Caitlin McDaniel</t>
  </si>
  <si>
    <t>PP. vs. EX.</t>
  </si>
  <si>
    <t>-</t>
  </si>
  <si>
    <t>: Rise in WSEL</t>
  </si>
  <si>
    <t xml:space="preserve">Notes on WSEL Rises </t>
  </si>
  <si>
    <t>: PR vs EFF</t>
  </si>
  <si>
    <t>: PR vs EX</t>
  </si>
  <si>
    <t>372 (U)</t>
  </si>
  <si>
    <t>368 (T)</t>
  </si>
  <si>
    <t>364.4 (S)</t>
  </si>
  <si>
    <t>364.1 (R)</t>
  </si>
  <si>
    <t>360 (Q)</t>
  </si>
  <si>
    <t>356 (P)</t>
  </si>
  <si>
    <t>352 (O)</t>
  </si>
  <si>
    <t>349 (N)</t>
  </si>
  <si>
    <t>345 (M)</t>
  </si>
  <si>
    <t>340 (L)</t>
  </si>
  <si>
    <t>328 (J)</t>
  </si>
  <si>
    <t>The rise is acknowledged and attributed to the removal of the split flow and restriction of the floodplain to the new channel corridor</t>
  </si>
  <si>
    <t>The rise is acknowledged and attributed to the removal of the split flow and restriction of the floodplain to the new channel corridor.</t>
  </si>
  <si>
    <t>The rise is acknowledged and attributed to updating the XS with better data (no changes are made by the project within this area).</t>
  </si>
  <si>
    <t>Disconnected ROB ponding removed (500yr)</t>
  </si>
  <si>
    <t>Additional XS modeled, but numerical tie-in achieved at 14785.38</t>
  </si>
  <si>
    <t>333 (K)</t>
  </si>
  <si>
    <t>Proposed New Q</t>
  </si>
  <si>
    <t>Proposed New R</t>
  </si>
  <si>
    <t>: 2019 LOMR Effective Model</t>
  </si>
  <si>
    <t>:1981 FIS Effective Model</t>
  </si>
  <si>
    <t>City of Colorado Springs and El Paso County</t>
  </si>
  <si>
    <t>Jimmy Camp Creek - East Tributary</t>
  </si>
  <si>
    <t>The rise is acknowledged and attributed to the restriction of the floodplain to accommodate the proposed detention facility. Since the rise is contained within the terraced channel and the applicant's property, no other properties are impacted.</t>
  </si>
  <si>
    <t>The rise is acknowledged and attributed to the restriction of the floodplain to accommodate the proposed detention facility, as well as the incorporation of the Bradley Rd culverts (note no crossing at Bradley Rd was included in the effective model). Since the rise is contained within the terraced channel and the applicant's property, no other properties are impacted.</t>
  </si>
  <si>
    <t>Rolling Meadows CLOMR 2024</t>
  </si>
  <si>
    <t>Rollings Meadows CLOMR 2024</t>
  </si>
  <si>
    <t xml:space="preserve">Jordan Becker, PE </t>
  </si>
  <si>
    <t xml:space="preserve">fis floodway </t>
  </si>
  <si>
    <t>dup eff fldwy model</t>
  </si>
  <si>
    <t>NMO QUESTION - CELL NEEDS REVIEW</t>
  </si>
  <si>
    <t xml:space="preserve">Ineffective flow areas show stormwater pond's hydraulic shadow. </t>
  </si>
  <si>
    <t xml:space="preserve">LOB mapped as fully inundated to show hydraulic continuity/connectivity with US XS most conservative mapping. Ineffective flow areas show stormwater pond's hydraulic shadow. </t>
  </si>
  <si>
    <t>LOB mapped as fully inundated to show hydraulic continuity/connectivity with US XS most conservative mapping.</t>
  </si>
  <si>
    <t>Effective XS data adopted without change to facilitate US tie-in. Since the topographic data used for the Effective Model (1981 FIS) was not available, the WSEL was mapped to the 2019 El Paso County LiDAR and a wider floodplain was produced. A numerical tie-in was not attainable without the use of the effective cross-section. Effective reach lengths were also unchanged and result in a 12% difference in channel length when comparing the model and map.</t>
  </si>
  <si>
    <t>LOB mapped as fully inundated to show hydraulic continuity/connectivity with US XS</t>
  </si>
  <si>
    <t>The rise is acknowledged and attributed primarily to inclusion of the bridge pier and the bridge routine alterations with HEC-RAS.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</si>
</sst>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0"/>
      <name val="Arial"/>
    </font>
    <font>
      <sz val="10"/>
      <name val="Times New Roman"/>
      <family val="1"/>
    </font>
    <font>
      <sz val="12"/>
      <name val="Times New Roman"/>
      <family val="1"/>
    </font>
    <font>
      <sz val="10"/>
      <name val="Arial"/>
      <family val="2"/>
    </font>
    <font>
      <b/>
      <sz val="12"/>
      <name val="Arial"/>
      <family val="2"/>
    </font>
    <font>
      <sz val="12"/>
      <name val="Arial"/>
      <family val="2"/>
    </font>
    <font>
      <b/>
      <sz val="10"/>
      <name val="Arial"/>
      <family val="2"/>
    </font>
    <font>
      <b/>
      <sz val="20"/>
      <name val="Arial"/>
      <family val="2"/>
    </font>
    <font>
      <b/>
      <sz val="8"/>
      <name val="Arial"/>
      <family val="2"/>
    </font>
    <font>
      <b/>
      <i/>
      <sz val="10"/>
      <color indexed="10"/>
      <name val="Arial"/>
      <family val="2"/>
    </font>
    <font>
      <b/>
      <sz val="18"/>
      <name val="Arial"/>
      <family val="2"/>
    </font>
    <font>
      <b/>
      <sz val="14"/>
      <name val="Arial"/>
      <family val="2"/>
    </font>
    <font>
      <b/>
      <sz val="16"/>
      <name val="Arial"/>
      <family val="2"/>
    </font>
    <font>
      <b/>
      <i/>
      <sz val="10"/>
      <name val="Arial"/>
      <family val="2"/>
    </font>
    <font>
      <i/>
      <u/>
      <sz val="10"/>
      <name val="Arial"/>
      <family val="2"/>
    </font>
    <font>
      <sz val="9"/>
      <name val="Arial"/>
      <family val="2"/>
    </font>
    <font>
      <i/>
      <u/>
      <sz val="9"/>
      <name val="Arial"/>
      <family val="2"/>
    </font>
    <font>
      <u/>
      <sz val="10"/>
      <color theme="10"/>
      <name val="Arial"/>
      <family val="2"/>
    </font>
    <font>
      <u/>
      <sz val="8"/>
      <color theme="10"/>
      <name val="Arial"/>
      <family val="2"/>
    </font>
    <font>
      <sz val="10"/>
      <color rgb="FF0070C0"/>
      <name val="Arial"/>
      <family val="2"/>
    </font>
    <font>
      <sz val="12"/>
      <color rgb="FF0070C0"/>
      <name val="Arial"/>
      <family val="2"/>
    </font>
    <font>
      <sz val="11"/>
      <name val="Arial"/>
      <family val="2"/>
    </font>
    <font>
      <b/>
      <i/>
      <sz val="12"/>
      <name val="Arial"/>
      <family val="2"/>
    </font>
    <font>
      <i/>
      <sz val="9"/>
      <name val="Arial"/>
      <family val="2"/>
    </font>
    <font>
      <sz val="11"/>
      <name val="Aptos Narrow"/>
      <family val="2"/>
    </font>
    <font>
      <b/>
      <i/>
      <sz val="11"/>
      <name val="Aptos Narrow"/>
      <family val="2"/>
    </font>
    <font>
      <sz val="10"/>
      <color rgb="FFFF0000"/>
      <name val="Arial"/>
      <family val="2"/>
    </font>
    <font>
      <sz val="12"/>
      <color rgb="FFFF0000"/>
      <name val="Arial"/>
      <family val="2"/>
    </font>
  </fonts>
  <fills count="10">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0"/>
        <bgColor indexed="64"/>
      </patternFill>
    </fill>
  </fills>
  <borders count="68">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medium">
        <color indexed="64"/>
      </left>
      <right style="thin">
        <color indexed="64"/>
      </right>
      <top style="thin">
        <color indexed="64"/>
      </top>
      <bottom style="medium">
        <color indexed="64"/>
      </bottom>
      <diagonal style="thin">
        <color indexed="64"/>
      </diagonal>
    </border>
    <border diagonalUp="1" diagonalDown="1">
      <left style="thin">
        <color indexed="64"/>
      </left>
      <right style="medium">
        <color indexed="64"/>
      </right>
      <top/>
      <bottom style="thin">
        <color indexed="64"/>
      </bottom>
      <diagonal style="thin">
        <color indexed="64"/>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cellStyleXfs>
  <cellXfs count="403">
    <xf numFmtId="0" fontId="0" fillId="0" borderId="0" xfId="0"/>
    <xf numFmtId="0" fontId="1" fillId="0" borderId="0" xfId="0" applyFont="1"/>
    <xf numFmtId="0" fontId="2" fillId="0" borderId="0" xfId="0" applyFont="1" applyAlignment="1">
      <alignment horizontal="center"/>
    </xf>
    <xf numFmtId="0" fontId="3" fillId="0" borderId="0" xfId="0" applyFont="1"/>
    <xf numFmtId="9" fontId="3" fillId="0" borderId="1" xfId="0" applyNumberFormat="1" applyFont="1" applyBorder="1" applyAlignment="1">
      <alignment horizontal="center"/>
    </xf>
    <xf numFmtId="9" fontId="3" fillId="0" borderId="2" xfId="0" applyNumberFormat="1" applyFont="1" applyBorder="1" applyAlignment="1">
      <alignment horizontal="center"/>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1" fontId="3" fillId="0" borderId="9" xfId="0" quotePrefix="1" applyNumberFormat="1" applyFont="1" applyBorder="1" applyAlignment="1">
      <alignment horizontal="center"/>
    </xf>
    <xf numFmtId="2" fontId="6" fillId="0" borderId="8" xfId="0"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1" fontId="3" fillId="0" borderId="6" xfId="0" quotePrefix="1" applyNumberFormat="1" applyFont="1" applyBorder="1" applyAlignment="1">
      <alignment horizontal="center"/>
    </xf>
    <xf numFmtId="9" fontId="3" fillId="0" borderId="5" xfId="0" applyNumberFormat="1" applyFont="1" applyBorder="1" applyAlignment="1">
      <alignment horizontal="center"/>
    </xf>
    <xf numFmtId="0" fontId="5" fillId="0" borderId="0" xfId="0" applyFont="1"/>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0" fillId="0" borderId="8" xfId="0" applyBorder="1"/>
    <xf numFmtId="0" fontId="0" fillId="0" borderId="7" xfId="0" applyBorder="1"/>
    <xf numFmtId="0" fontId="6" fillId="0" borderId="3" xfId="0" applyFont="1" applyBorder="1" applyAlignment="1">
      <alignment horizontal="center" vertical="center" wrapText="1"/>
    </xf>
    <xf numFmtId="9" fontId="3" fillId="0" borderId="19" xfId="0" applyNumberFormat="1" applyFont="1" applyBorder="1" applyAlignment="1">
      <alignment horizontal="center"/>
    </xf>
    <xf numFmtId="9" fontId="3" fillId="0" borderId="20" xfId="0" applyNumberFormat="1" applyFont="1" applyBorder="1" applyAlignment="1">
      <alignment horizontal="center"/>
    </xf>
    <xf numFmtId="9" fontId="3" fillId="0" borderId="21" xfId="0" applyNumberFormat="1" applyFont="1" applyBorder="1" applyAlignment="1">
      <alignment horizontal="center"/>
    </xf>
    <xf numFmtId="9" fontId="3" fillId="0" borderId="22" xfId="0" applyNumberFormat="1" applyFont="1" applyBorder="1" applyAlignment="1">
      <alignment horizontal="center"/>
    </xf>
    <xf numFmtId="0" fontId="3" fillId="0" borderId="0" xfId="0" applyFont="1" applyAlignment="1">
      <alignment horizontal="center"/>
    </xf>
    <xf numFmtId="0" fontId="6" fillId="0" borderId="3" xfId="0" applyFont="1" applyBorder="1" applyAlignment="1">
      <alignment horizontal="center" vertical="center"/>
    </xf>
    <xf numFmtId="0" fontId="0" fillId="0" borderId="0" xfId="0" applyAlignme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18" fillId="0" borderId="0" xfId="1" applyFont="1" applyBorder="1" applyAlignment="1">
      <alignment horizontal="left" vertical="center"/>
    </xf>
    <xf numFmtId="0" fontId="15" fillId="0" borderId="0" xfId="0" applyFont="1" applyAlignment="1">
      <alignment horizontal="left" vertical="center"/>
    </xf>
    <xf numFmtId="0" fontId="4" fillId="0" borderId="39"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16" xfId="0" applyFont="1" applyBorder="1" applyAlignment="1">
      <alignment horizontal="center" vertical="center"/>
    </xf>
    <xf numFmtId="0" fontId="3" fillId="0" borderId="23" xfId="0" applyFont="1" applyBorder="1" applyAlignment="1">
      <alignment horizontal="center" vertical="center"/>
    </xf>
    <xf numFmtId="1" fontId="3" fillId="0" borderId="8" xfId="0" applyNumberFormat="1" applyFont="1" applyBorder="1" applyAlignment="1">
      <alignment horizontal="center" vertical="center"/>
    </xf>
    <xf numFmtId="1" fontId="3" fillId="0" borderId="17" xfId="0" quotePrefix="1" applyNumberFormat="1" applyFont="1" applyBorder="1" applyAlignment="1">
      <alignment horizontal="center" vertical="center"/>
    </xf>
    <xf numFmtId="9" fontId="3" fillId="0" borderId="1" xfId="0" applyNumberFormat="1" applyFont="1" applyBorder="1" applyAlignment="1">
      <alignment horizontal="center" vertical="center"/>
    </xf>
    <xf numFmtId="1" fontId="3" fillId="0" borderId="17" xfId="0" applyNumberFormat="1" applyFont="1" applyBorder="1" applyAlignment="1">
      <alignment horizontal="center" vertical="center"/>
    </xf>
    <xf numFmtId="0" fontId="4" fillId="0" borderId="14" xfId="0" applyFont="1" applyBorder="1" applyAlignment="1">
      <alignment horizontal="right" vertical="center"/>
    </xf>
    <xf numFmtId="0" fontId="0" fillId="0" borderId="53" xfId="0" applyBorder="1" applyAlignment="1">
      <alignment horizontal="left" vertical="center"/>
    </xf>
    <xf numFmtId="0" fontId="4" fillId="0" borderId="51" xfId="0" applyFont="1" applyBorder="1" applyAlignment="1">
      <alignment horizontal="center" vertical="center"/>
    </xf>
    <xf numFmtId="0" fontId="4" fillId="0" borderId="19" xfId="0" applyFont="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49" xfId="0" applyFont="1" applyFill="1" applyBorder="1" applyAlignment="1">
      <alignment horizontal="center" vertical="center"/>
    </xf>
    <xf numFmtId="0" fontId="3" fillId="0" borderId="0" xfId="0" quotePrefix="1" applyFont="1" applyAlignment="1">
      <alignment horizontal="left"/>
    </xf>
    <xf numFmtId="2" fontId="9" fillId="0" borderId="0" xfId="0" applyNumberFormat="1" applyFont="1" applyAlignment="1">
      <alignment horizontal="left"/>
    </xf>
    <xf numFmtId="0" fontId="20" fillId="0" borderId="0" xfId="0" applyFont="1"/>
    <xf numFmtId="2" fontId="21" fillId="3" borderId="17" xfId="0" applyNumberFormat="1" applyFont="1" applyFill="1" applyBorder="1"/>
    <xf numFmtId="0" fontId="3" fillId="4" borderId="17" xfId="0" applyFont="1" applyFill="1" applyBorder="1"/>
    <xf numFmtId="0" fontId="3" fillId="5" borderId="17" xfId="0" applyFont="1" applyFill="1" applyBorder="1"/>
    <xf numFmtId="0" fontId="3" fillId="0" borderId="8" xfId="0" quotePrefix="1"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2" fontId="3" fillId="0" borderId="11" xfId="0" applyNumberFormat="1" applyFont="1" applyBorder="1" applyAlignment="1">
      <alignment horizontal="center" vertical="center"/>
    </xf>
    <xf numFmtId="0" fontId="5" fillId="0" borderId="1" xfId="0" applyFont="1" applyBorder="1" applyAlignment="1">
      <alignment vertical="center"/>
    </xf>
    <xf numFmtId="2" fontId="3" fillId="0" borderId="15" xfId="0" applyNumberFormat="1" applyFont="1" applyBorder="1" applyAlignment="1">
      <alignment horizontal="center" vertical="center"/>
    </xf>
    <xf numFmtId="2" fontId="3" fillId="0" borderId="2" xfId="0" applyNumberFormat="1" applyFont="1" applyBorder="1" applyAlignment="1">
      <alignment horizontal="center" vertical="center"/>
    </xf>
    <xf numFmtId="2" fontId="3" fillId="3" borderId="8" xfId="0" applyNumberFormat="1" applyFont="1" applyFill="1" applyBorder="1" applyAlignment="1">
      <alignment horizontal="center" vertical="center"/>
    </xf>
    <xf numFmtId="2" fontId="3" fillId="3" borderId="17" xfId="0" applyNumberFormat="1" applyFont="1" applyFill="1" applyBorder="1" applyAlignment="1">
      <alignment horizontal="center" vertical="center"/>
    </xf>
    <xf numFmtId="2" fontId="3" fillId="0" borderId="17" xfId="0" applyNumberFormat="1" applyFont="1" applyBorder="1" applyAlignment="1">
      <alignment horizontal="center" vertical="center"/>
    </xf>
    <xf numFmtId="2" fontId="3" fillId="0" borderId="1" xfId="0" applyNumberFormat="1" applyFont="1" applyBorder="1" applyAlignment="1">
      <alignment horizontal="center" vertical="center"/>
    </xf>
    <xf numFmtId="0" fontId="3" fillId="0" borderId="8" xfId="0" applyFont="1" applyBorder="1" applyAlignment="1">
      <alignment horizontal="center" vertical="center"/>
    </xf>
    <xf numFmtId="2" fontId="3" fillId="0" borderId="8" xfId="0" applyNumberFormat="1" applyFont="1" applyBorder="1" applyAlignment="1">
      <alignment horizontal="center" vertical="center"/>
    </xf>
    <xf numFmtId="0" fontId="3" fillId="0" borderId="15" xfId="0" quotePrefix="1" applyFont="1" applyBorder="1" applyAlignment="1">
      <alignment horizontal="center" vertical="center"/>
    </xf>
    <xf numFmtId="0" fontId="3" fillId="0" borderId="17" xfId="0" quotePrefix="1" applyFont="1" applyBorder="1" applyAlignment="1">
      <alignment horizontal="center" vertical="center"/>
    </xf>
    <xf numFmtId="2" fontId="3" fillId="0" borderId="7" xfId="0" applyNumberFormat="1" applyFont="1" applyBorder="1" applyAlignment="1">
      <alignment horizontal="center" vertical="center"/>
    </xf>
    <xf numFmtId="0" fontId="3" fillId="0" borderId="17" xfId="0" applyFont="1" applyBorder="1" applyAlignment="1">
      <alignment horizontal="center" vertical="center"/>
    </xf>
    <xf numFmtId="0" fontId="3" fillId="0" borderId="23" xfId="0" quotePrefix="1" applyFont="1" applyBorder="1" applyAlignment="1">
      <alignment horizontal="center" vertical="center"/>
    </xf>
    <xf numFmtId="2" fontId="3" fillId="0" borderId="17" xfId="0" quotePrefix="1" applyNumberFormat="1" applyFont="1" applyBorder="1" applyAlignment="1">
      <alignment horizontal="center" vertical="center"/>
    </xf>
    <xf numFmtId="2" fontId="3" fillId="0" borderId="15" xfId="0" quotePrefix="1" applyNumberFormat="1" applyFont="1" applyBorder="1" applyAlignment="1">
      <alignment horizontal="center" vertical="center"/>
    </xf>
    <xf numFmtId="0" fontId="19" fillId="0" borderId="17" xfId="0" quotePrefix="1" applyFont="1" applyBorder="1" applyAlignment="1">
      <alignment horizontal="center" vertical="center"/>
    </xf>
    <xf numFmtId="2" fontId="13" fillId="0" borderId="15" xfId="0" applyNumberFormat="1" applyFont="1" applyBorder="1" applyAlignment="1">
      <alignment horizontal="center" vertical="center"/>
    </xf>
    <xf numFmtId="0" fontId="3" fillId="0" borderId="48" xfId="0" applyFont="1" applyBorder="1" applyAlignment="1">
      <alignment horizontal="center" vertical="center"/>
    </xf>
    <xf numFmtId="1" fontId="3" fillId="0" borderId="7" xfId="0" applyNumberFormat="1" applyFont="1" applyBorder="1" applyAlignment="1">
      <alignment horizontal="center" vertical="center"/>
    </xf>
    <xf numFmtId="1" fontId="3" fillId="0" borderId="10" xfId="0" applyNumberFormat="1" applyFont="1" applyBorder="1" applyAlignment="1">
      <alignment horizontal="center" vertical="center"/>
    </xf>
    <xf numFmtId="1" fontId="3" fillId="0" borderId="11" xfId="0" quotePrefix="1" applyNumberFormat="1" applyFont="1" applyBorder="1" applyAlignment="1">
      <alignment horizontal="center" vertical="center"/>
    </xf>
    <xf numFmtId="9" fontId="3" fillId="0" borderId="13" xfId="0" applyNumberFormat="1" applyFont="1" applyBorder="1" applyAlignment="1">
      <alignment horizontal="center" vertical="center"/>
    </xf>
    <xf numFmtId="1" fontId="3" fillId="0" borderId="13" xfId="0" applyNumberFormat="1" applyFont="1" applyBorder="1" applyAlignment="1">
      <alignment horizontal="center" vertical="center"/>
    </xf>
    <xf numFmtId="0" fontId="19" fillId="0" borderId="15" xfId="0" applyFont="1" applyBorder="1" applyAlignment="1">
      <alignment horizontal="center" vertical="center"/>
    </xf>
    <xf numFmtId="2" fontId="3" fillId="3" borderId="7" xfId="0" applyNumberFormat="1" applyFont="1" applyFill="1" applyBorder="1" applyAlignment="1">
      <alignment horizontal="center" vertical="center"/>
    </xf>
    <xf numFmtId="2" fontId="3" fillId="3" borderId="10" xfId="0" applyNumberFormat="1" applyFont="1" applyFill="1" applyBorder="1" applyAlignment="1">
      <alignment horizontal="center" vertical="center"/>
    </xf>
    <xf numFmtId="0" fontId="0" fillId="0" borderId="17" xfId="0" applyBorder="1" applyAlignment="1">
      <alignment horizontal="center"/>
    </xf>
    <xf numFmtId="2" fontId="3" fillId="3" borderId="11" xfId="0" applyNumberFormat="1" applyFont="1" applyFill="1" applyBorder="1" applyAlignment="1">
      <alignment horizontal="center" vertical="center"/>
    </xf>
    <xf numFmtId="2" fontId="3" fillId="3" borderId="1" xfId="0" applyNumberFormat="1" applyFont="1" applyFill="1" applyBorder="1" applyAlignment="1">
      <alignment horizontal="center" vertical="center"/>
    </xf>
    <xf numFmtId="2" fontId="3" fillId="3" borderId="13" xfId="0" applyNumberFormat="1" applyFont="1" applyFill="1" applyBorder="1" applyAlignment="1">
      <alignment horizontal="center" vertical="center"/>
    </xf>
    <xf numFmtId="2" fontId="3" fillId="0" borderId="62" xfId="0" applyNumberFormat="1" applyFont="1" applyBorder="1" applyAlignment="1">
      <alignment horizontal="center" vertical="center"/>
    </xf>
    <xf numFmtId="2" fontId="3" fillId="0" borderId="58" xfId="0" applyNumberFormat="1" applyFont="1" applyBorder="1" applyAlignment="1">
      <alignment horizontal="center" vertical="center"/>
    </xf>
    <xf numFmtId="2" fontId="25" fillId="0" borderId="58" xfId="0" applyNumberFormat="1" applyFont="1" applyBorder="1" applyAlignment="1">
      <alignment horizontal="center" vertical="center"/>
    </xf>
    <xf numFmtId="0" fontId="3" fillId="0" borderId="58" xfId="0" quotePrefix="1" applyFont="1" applyBorder="1" applyAlignment="1">
      <alignment horizontal="center" vertical="center"/>
    </xf>
    <xf numFmtId="2" fontId="25" fillId="0" borderId="17" xfId="0" applyNumberFormat="1" applyFont="1" applyBorder="1" applyAlignment="1">
      <alignment horizontal="center" vertical="center"/>
    </xf>
    <xf numFmtId="0" fontId="3" fillId="0" borderId="43" xfId="0" applyFont="1" applyBorder="1" applyAlignment="1">
      <alignment horizontal="center" vertical="center"/>
    </xf>
    <xf numFmtId="0" fontId="3" fillId="0" borderId="47" xfId="0" applyFont="1" applyBorder="1" applyAlignment="1">
      <alignment horizontal="center" vertical="center"/>
    </xf>
    <xf numFmtId="0" fontId="3" fillId="0" borderId="60" xfId="0" applyFont="1" applyBorder="1" applyAlignment="1">
      <alignment horizontal="center" vertical="center"/>
    </xf>
    <xf numFmtId="0" fontId="0" fillId="0" borderId="17" xfId="0" applyBorder="1"/>
    <xf numFmtId="0" fontId="0" fillId="0" borderId="10" xfId="0" applyBorder="1"/>
    <xf numFmtId="0" fontId="0" fillId="0" borderId="11" xfId="0" applyBorder="1"/>
    <xf numFmtId="1" fontId="3" fillId="0" borderId="1" xfId="0" applyNumberFormat="1" applyFont="1" applyBorder="1" applyAlignment="1">
      <alignment horizontal="center" vertical="center"/>
    </xf>
    <xf numFmtId="0" fontId="0" fillId="0" borderId="31" xfId="0" applyBorder="1"/>
    <xf numFmtId="0" fontId="0" fillId="0" borderId="32" xfId="0" applyBorder="1"/>
    <xf numFmtId="0" fontId="0" fillId="0" borderId="33" xfId="0" applyBorder="1"/>
    <xf numFmtId="1" fontId="3" fillId="0" borderId="9" xfId="0" applyNumberFormat="1" applyFont="1" applyBorder="1" applyAlignment="1">
      <alignment horizontal="center" vertical="center"/>
    </xf>
    <xf numFmtId="0" fontId="0" fillId="0" borderId="53" xfId="0" applyBorder="1"/>
    <xf numFmtId="0" fontId="3" fillId="0" borderId="64" xfId="0" applyFont="1" applyBorder="1" applyAlignment="1">
      <alignment horizontal="center" vertical="center"/>
    </xf>
    <xf numFmtId="2" fontId="0" fillId="0" borderId="12" xfId="0" applyNumberFormat="1" applyBorder="1"/>
    <xf numFmtId="2" fontId="0" fillId="0" borderId="23" xfId="0" applyNumberFormat="1" applyBorder="1"/>
    <xf numFmtId="1" fontId="3" fillId="0" borderId="57" xfId="0" applyNumberFormat="1" applyFont="1" applyBorder="1" applyAlignment="1">
      <alignment horizontal="center" vertical="center"/>
    </xf>
    <xf numFmtId="0" fontId="3" fillId="0" borderId="52" xfId="0" applyFont="1" applyBorder="1" applyAlignment="1">
      <alignment horizontal="left" vertical="center" wrapText="1"/>
    </xf>
    <xf numFmtId="0" fontId="0" fillId="0" borderId="53" xfId="0" applyBorder="1" applyAlignment="1">
      <alignment wrapText="1"/>
    </xf>
    <xf numFmtId="0" fontId="0" fillId="0" borderId="56" xfId="0" applyBorder="1"/>
    <xf numFmtId="2" fontId="3" fillId="6" borderId="7" xfId="0" applyNumberFormat="1" applyFont="1" applyFill="1" applyBorder="1" applyAlignment="1">
      <alignment horizontal="center" vertical="center"/>
    </xf>
    <xf numFmtId="0" fontId="0" fillId="6" borderId="17" xfId="0" applyFill="1" applyBorder="1" applyAlignment="1">
      <alignment horizontal="center" vertical="center"/>
    </xf>
    <xf numFmtId="2" fontId="3" fillId="7" borderId="10" xfId="0" applyNumberFormat="1" applyFont="1" applyFill="1" applyBorder="1" applyAlignment="1">
      <alignment horizontal="center" vertical="center"/>
    </xf>
    <xf numFmtId="2" fontId="3" fillId="7" borderId="11" xfId="0" applyNumberFormat="1" applyFont="1" applyFill="1" applyBorder="1" applyAlignment="1">
      <alignment horizontal="center" vertical="center"/>
    </xf>
    <xf numFmtId="2" fontId="3" fillId="7" borderId="7" xfId="0" applyNumberFormat="1" applyFont="1" applyFill="1" applyBorder="1" applyAlignment="1">
      <alignment horizontal="center" vertical="center"/>
    </xf>
    <xf numFmtId="2" fontId="3" fillId="7" borderId="15" xfId="0" applyNumberFormat="1" applyFont="1" applyFill="1" applyBorder="1" applyAlignment="1">
      <alignment horizontal="center" vertical="center"/>
    </xf>
    <xf numFmtId="2" fontId="3" fillId="7" borderId="17" xfId="0" applyNumberFormat="1" applyFont="1" applyFill="1" applyBorder="1" applyAlignment="1">
      <alignment horizontal="center" vertical="center"/>
    </xf>
    <xf numFmtId="2" fontId="3" fillId="7" borderId="8" xfId="0" applyNumberFormat="1" applyFont="1" applyFill="1" applyBorder="1" applyAlignment="1">
      <alignment horizontal="center" vertical="center"/>
    </xf>
    <xf numFmtId="2" fontId="3" fillId="7" borderId="62" xfId="0" applyNumberFormat="1" applyFont="1" applyFill="1" applyBorder="1" applyAlignment="1">
      <alignment horizontal="center" vertical="center"/>
    </xf>
    <xf numFmtId="2" fontId="3" fillId="7" borderId="58" xfId="0" applyNumberFormat="1" applyFont="1" applyFill="1" applyBorder="1" applyAlignment="1">
      <alignment horizontal="center" vertical="center"/>
    </xf>
    <xf numFmtId="0" fontId="3" fillId="7" borderId="17" xfId="0" applyFont="1" applyFill="1" applyBorder="1" applyAlignment="1">
      <alignment horizontal="center" vertical="center"/>
    </xf>
    <xf numFmtId="2" fontId="21" fillId="6" borderId="0" xfId="0" applyNumberFormat="1" applyFont="1" applyFill="1"/>
    <xf numFmtId="0" fontId="3" fillId="7" borderId="0" xfId="0" applyFont="1" applyFill="1"/>
    <xf numFmtId="1" fontId="3" fillId="0" borderId="11" xfId="0" applyNumberFormat="1" applyFont="1" applyBorder="1" applyAlignment="1">
      <alignment horizontal="center" vertical="center"/>
    </xf>
    <xf numFmtId="0" fontId="5" fillId="0" borderId="1" xfId="0" applyFont="1" applyBorder="1"/>
    <xf numFmtId="1" fontId="3" fillId="0" borderId="0" xfId="0" applyNumberFormat="1" applyFont="1" applyAlignment="1">
      <alignment horizontal="center" vertical="center"/>
    </xf>
    <xf numFmtId="0" fontId="3" fillId="0" borderId="3" xfId="0" quotePrefix="1" applyFont="1" applyBorder="1" applyAlignment="1">
      <alignment horizontal="center" vertical="center"/>
    </xf>
    <xf numFmtId="0" fontId="3" fillId="0" borderId="4" xfId="0" applyFont="1" applyBorder="1" applyAlignment="1">
      <alignment horizontal="center" vertical="center"/>
    </xf>
    <xf numFmtId="0" fontId="3" fillId="0" borderId="4" xfId="0" quotePrefix="1" applyFont="1" applyBorder="1" applyAlignment="1">
      <alignment horizontal="center" vertical="center"/>
    </xf>
    <xf numFmtId="0" fontId="3" fillId="0" borderId="14" xfId="0" applyFont="1" applyBorder="1" applyAlignment="1">
      <alignment horizontal="center" vertical="center"/>
    </xf>
    <xf numFmtId="1" fontId="3" fillId="0" borderId="5" xfId="0" applyNumberFormat="1" applyFont="1" applyBorder="1" applyAlignment="1">
      <alignment horizontal="center" vertical="center"/>
    </xf>
    <xf numFmtId="2" fontId="3" fillId="6" borderId="65" xfId="0" applyNumberFormat="1" applyFont="1" applyFill="1" applyBorder="1" applyAlignment="1">
      <alignment horizontal="center" vertical="center"/>
    </xf>
    <xf numFmtId="0" fontId="0" fillId="6" borderId="4" xfId="0" applyFill="1" applyBorder="1" applyAlignment="1">
      <alignment horizontal="center" vertical="center"/>
    </xf>
    <xf numFmtId="2" fontId="3" fillId="0" borderId="18" xfId="0" applyNumberFormat="1" applyFont="1" applyBorder="1" applyAlignment="1">
      <alignment horizontal="center" vertical="center"/>
    </xf>
    <xf numFmtId="2" fontId="3" fillId="0" borderId="3" xfId="0" applyNumberFormat="1" applyFont="1" applyBorder="1" applyAlignment="1">
      <alignment horizontal="center" vertical="center"/>
    </xf>
    <xf numFmtId="2" fontId="3" fillId="3" borderId="4" xfId="0" applyNumberFormat="1" applyFont="1" applyFill="1" applyBorder="1" applyAlignment="1">
      <alignment horizontal="center" vertical="center"/>
    </xf>
    <xf numFmtId="2" fontId="3" fillId="3" borderId="5" xfId="0" applyNumberFormat="1" applyFont="1" applyFill="1" applyBorder="1" applyAlignment="1">
      <alignment horizontal="center" vertical="center"/>
    </xf>
    <xf numFmtId="0" fontId="5" fillId="0" borderId="1" xfId="0" applyFont="1" applyBorder="1" applyAlignment="1">
      <alignment horizontal="center"/>
    </xf>
    <xf numFmtId="0" fontId="20" fillId="0" borderId="1" xfId="0" applyFont="1" applyBorder="1" applyAlignment="1">
      <alignment horizontal="center"/>
    </xf>
    <xf numFmtId="2" fontId="3" fillId="0" borderId="4" xfId="0" applyNumberFormat="1" applyFont="1" applyBorder="1" applyAlignment="1">
      <alignment horizontal="center" vertical="center"/>
    </xf>
    <xf numFmtId="0" fontId="26" fillId="0" borderId="8" xfId="0" quotePrefix="1" applyFont="1" applyBorder="1" applyAlignment="1">
      <alignment horizontal="center" vertical="center"/>
    </xf>
    <xf numFmtId="0" fontId="26" fillId="0" borderId="23" xfId="0" applyFont="1" applyBorder="1" applyAlignment="1">
      <alignment horizontal="center" vertical="center"/>
    </xf>
    <xf numFmtId="1" fontId="26" fillId="0" borderId="1" xfId="0" applyNumberFormat="1" applyFont="1" applyBorder="1" applyAlignment="1">
      <alignment horizontal="center" vertical="center"/>
    </xf>
    <xf numFmtId="2" fontId="26" fillId="7" borderId="7" xfId="0" applyNumberFormat="1" applyFont="1" applyFill="1" applyBorder="1" applyAlignment="1">
      <alignment horizontal="center" vertical="center"/>
    </xf>
    <xf numFmtId="2" fontId="26" fillId="7" borderId="15" xfId="0" applyNumberFormat="1" applyFont="1" applyFill="1" applyBorder="1" applyAlignment="1">
      <alignment horizontal="center" vertical="center"/>
    </xf>
    <xf numFmtId="2" fontId="26" fillId="0" borderId="2" xfId="0" applyNumberFormat="1" applyFont="1" applyBorder="1" applyAlignment="1">
      <alignment horizontal="center" vertical="center"/>
    </xf>
    <xf numFmtId="2" fontId="26" fillId="3" borderId="8" xfId="0" applyNumberFormat="1" applyFont="1" applyFill="1" applyBorder="1" applyAlignment="1">
      <alignment horizontal="center" vertical="center"/>
    </xf>
    <xf numFmtId="2" fontId="26" fillId="3" borderId="17" xfId="0" applyNumberFormat="1" applyFont="1" applyFill="1" applyBorder="1" applyAlignment="1">
      <alignment horizontal="center" vertical="center"/>
    </xf>
    <xf numFmtId="2" fontId="26" fillId="0" borderId="17" xfId="0" applyNumberFormat="1" applyFont="1" applyBorder="1" applyAlignment="1">
      <alignment horizontal="center" vertical="center"/>
    </xf>
    <xf numFmtId="2" fontId="26" fillId="0" borderId="1" xfId="0" applyNumberFormat="1" applyFont="1" applyBorder="1" applyAlignment="1">
      <alignment horizontal="center" vertical="center"/>
    </xf>
    <xf numFmtId="0" fontId="27" fillId="0" borderId="0" xfId="0" applyFont="1"/>
    <xf numFmtId="0" fontId="26" fillId="0" borderId="8" xfId="0" applyFont="1" applyBorder="1" applyAlignment="1">
      <alignment horizontal="center" vertical="center"/>
    </xf>
    <xf numFmtId="0" fontId="26" fillId="0" borderId="0" xfId="0" applyFont="1" applyAlignment="1">
      <alignment horizontal="center"/>
    </xf>
    <xf numFmtId="0" fontId="27" fillId="0" borderId="1" xfId="0" applyFont="1" applyBorder="1" applyAlignment="1">
      <alignment horizontal="center"/>
    </xf>
    <xf numFmtId="2" fontId="26" fillId="7" borderId="17" xfId="0" applyNumberFormat="1" applyFont="1" applyFill="1" applyBorder="1" applyAlignment="1">
      <alignment horizontal="center" vertical="center"/>
    </xf>
    <xf numFmtId="2" fontId="26" fillId="0" borderId="8" xfId="0" applyNumberFormat="1" applyFont="1" applyBorder="1" applyAlignment="1">
      <alignment horizontal="center" vertical="center"/>
    </xf>
    <xf numFmtId="0" fontId="26" fillId="0" borderId="17" xfId="0" quotePrefix="1" applyFont="1" applyBorder="1" applyAlignment="1">
      <alignment horizontal="center" vertical="center"/>
    </xf>
    <xf numFmtId="0" fontId="26" fillId="0" borderId="23" xfId="0" quotePrefix="1" applyFont="1" applyBorder="1" applyAlignment="1">
      <alignment horizontal="center" vertical="center"/>
    </xf>
    <xf numFmtId="2" fontId="27" fillId="0" borderId="0" xfId="0" applyNumberFormat="1" applyFont="1"/>
    <xf numFmtId="2" fontId="5" fillId="0" borderId="0" xfId="0" applyNumberFormat="1" applyFont="1"/>
    <xf numFmtId="2" fontId="20" fillId="0" borderId="0" xfId="0" applyNumberFormat="1" applyFont="1"/>
    <xf numFmtId="2" fontId="26" fillId="0" borderId="62" xfId="0" applyNumberFormat="1" applyFont="1" applyBorder="1" applyAlignment="1">
      <alignment horizontal="center" vertical="center"/>
    </xf>
    <xf numFmtId="0" fontId="0" fillId="0" borderId="51" xfId="0" applyBorder="1" applyAlignment="1">
      <alignment horizontal="center"/>
    </xf>
    <xf numFmtId="0" fontId="0" fillId="0" borderId="6" xfId="0" applyBorder="1" applyAlignment="1">
      <alignment horizontal="center"/>
    </xf>
    <xf numFmtId="0" fontId="8" fillId="0" borderId="31" xfId="0" quotePrefix="1" applyFont="1" applyBorder="1" applyAlignment="1">
      <alignment horizontal="center" vertical="center" wrapText="1"/>
    </xf>
    <xf numFmtId="0" fontId="8" fillId="0" borderId="32" xfId="0" quotePrefix="1" applyFont="1" applyBorder="1" applyAlignment="1">
      <alignment horizontal="center" vertical="center" wrapText="1"/>
    </xf>
    <xf numFmtId="0" fontId="8" fillId="0" borderId="33" xfId="0" quotePrefix="1" applyFont="1" applyBorder="1" applyAlignment="1">
      <alignment horizontal="center" vertical="center" wrapText="1"/>
    </xf>
    <xf numFmtId="2" fontId="3" fillId="7" borderId="9" xfId="0" applyNumberFormat="1" applyFont="1" applyFill="1" applyBorder="1" applyAlignment="1">
      <alignment horizontal="center" vertical="center"/>
    </xf>
    <xf numFmtId="0" fontId="26" fillId="7" borderId="9" xfId="0" applyFont="1" applyFill="1" applyBorder="1" applyAlignment="1">
      <alignment horizontal="center" vertical="center"/>
    </xf>
    <xf numFmtId="0" fontId="3" fillId="7" borderId="9" xfId="0" applyFont="1" applyFill="1" applyBorder="1" applyAlignment="1">
      <alignment horizontal="center" vertical="center"/>
    </xf>
    <xf numFmtId="0" fontId="0" fillId="7" borderId="9" xfId="0" applyFill="1" applyBorder="1" applyAlignment="1">
      <alignment horizontal="center" vertical="center"/>
    </xf>
    <xf numFmtId="0" fontId="5" fillId="8" borderId="0" xfId="0" applyFont="1" applyFill="1"/>
    <xf numFmtId="0" fontId="0" fillId="0" borderId="14" xfId="0" applyBorder="1" applyAlignment="1">
      <alignment horizontal="left"/>
    </xf>
    <xf numFmtId="2" fontId="26" fillId="9" borderId="15" xfId="0" applyNumberFormat="1" applyFont="1" applyFill="1" applyBorder="1" applyAlignment="1">
      <alignment horizontal="center" vertical="center"/>
    </xf>
    <xf numFmtId="2" fontId="26" fillId="7" borderId="8" xfId="0" applyNumberFormat="1" applyFont="1" applyFill="1" applyBorder="1" applyAlignment="1">
      <alignment horizontal="center" vertical="center"/>
    </xf>
    <xf numFmtId="2" fontId="26" fillId="7" borderId="67" xfId="0" applyNumberFormat="1" applyFont="1" applyFill="1" applyBorder="1" applyAlignment="1">
      <alignment horizontal="center" vertical="center"/>
    </xf>
    <xf numFmtId="2" fontId="26" fillId="7" borderId="9" xfId="0" applyNumberFormat="1" applyFont="1" applyFill="1" applyBorder="1" applyAlignment="1">
      <alignment horizontal="center" vertical="center"/>
    </xf>
    <xf numFmtId="2" fontId="26" fillId="7" borderId="39" xfId="0" applyNumberFormat="1" applyFont="1" applyFill="1" applyBorder="1" applyAlignment="1">
      <alignment horizontal="center" vertical="center"/>
    </xf>
    <xf numFmtId="0" fontId="26" fillId="0" borderId="17" xfId="0" applyFont="1" applyBorder="1" applyAlignment="1">
      <alignment horizontal="center" vertical="center"/>
    </xf>
    <xf numFmtId="164" fontId="26" fillId="0" borderId="17" xfId="0" applyNumberFormat="1" applyFont="1" applyBorder="1" applyAlignment="1">
      <alignment horizontal="center" vertical="center"/>
    </xf>
    <xf numFmtId="164" fontId="26" fillId="0" borderId="17" xfId="0" quotePrefix="1" applyNumberFormat="1" applyFont="1" applyBorder="1" applyAlignment="1">
      <alignment horizontal="center" vertical="center"/>
    </xf>
    <xf numFmtId="164" fontId="26" fillId="9" borderId="23" xfId="0" applyNumberFormat="1" applyFont="1" applyFill="1" applyBorder="1" applyAlignment="1">
      <alignment horizontal="center" vertical="center"/>
    </xf>
    <xf numFmtId="164" fontId="26" fillId="0" borderId="23" xfId="0" applyNumberFormat="1" applyFont="1" applyBorder="1" applyAlignment="1">
      <alignment horizontal="center" vertical="center"/>
    </xf>
    <xf numFmtId="2" fontId="26" fillId="0" borderId="15" xfId="0" applyNumberFormat="1" applyFont="1" applyBorder="1" applyAlignment="1">
      <alignment horizontal="center" vertical="center"/>
    </xf>
    <xf numFmtId="2" fontId="3" fillId="0" borderId="13" xfId="0" applyNumberFormat="1" applyFont="1" applyBorder="1" applyAlignment="1">
      <alignment horizontal="center" vertical="center"/>
    </xf>
    <xf numFmtId="0" fontId="0" fillId="0" borderId="1" xfId="0" applyBorder="1" applyAlignment="1">
      <alignment horizontal="center" vertical="center"/>
    </xf>
    <xf numFmtId="2" fontId="26" fillId="0" borderId="15" xfId="0" quotePrefix="1" applyNumberFormat="1" applyFont="1" applyBorder="1" applyAlignment="1">
      <alignment horizontal="center" vertical="center"/>
    </xf>
    <xf numFmtId="2" fontId="24" fillId="0" borderId="1" xfId="0" applyNumberFormat="1" applyFont="1" applyBorder="1" applyAlignment="1">
      <alignment horizontal="center" vertical="center"/>
    </xf>
    <xf numFmtId="2" fontId="24" fillId="0" borderId="17" xfId="0" applyNumberFormat="1" applyFont="1" applyBorder="1" applyAlignment="1">
      <alignment horizontal="center" vertical="center"/>
    </xf>
    <xf numFmtId="2" fontId="3" fillId="0" borderId="18" xfId="0" quotePrefix="1" applyNumberFormat="1" applyFont="1" applyBorder="1" applyAlignment="1">
      <alignment horizontal="center" vertical="center"/>
    </xf>
    <xf numFmtId="2" fontId="3" fillId="0" borderId="66" xfId="0" applyNumberFormat="1" applyFont="1" applyBorder="1" applyAlignment="1">
      <alignment horizontal="center" vertical="center"/>
    </xf>
    <xf numFmtId="0" fontId="27" fillId="0" borderId="1" xfId="0" applyFont="1" applyBorder="1"/>
    <xf numFmtId="2" fontId="3" fillId="0" borderId="59" xfId="0" applyNumberFormat="1" applyFont="1" applyBorder="1" applyAlignment="1">
      <alignment horizontal="center" vertical="center"/>
    </xf>
    <xf numFmtId="164" fontId="3" fillId="9" borderId="23" xfId="0" applyNumberFormat="1" applyFont="1" applyFill="1" applyBorder="1" applyAlignment="1">
      <alignment horizontal="center" vertical="center"/>
    </xf>
    <xf numFmtId="2" fontId="3" fillId="7" borderId="67" xfId="0" applyNumberFormat="1" applyFont="1" applyFill="1" applyBorder="1" applyAlignment="1">
      <alignment horizontal="center" vertical="center"/>
    </xf>
    <xf numFmtId="0" fontId="3" fillId="0" borderId="17" xfId="0" applyFont="1" applyBorder="1" applyAlignment="1">
      <alignment horizont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6" borderId="17" xfId="0" applyFont="1" applyFill="1" applyBorder="1" applyAlignment="1">
      <alignment horizontal="center" vertical="center"/>
    </xf>
    <xf numFmtId="0" fontId="3" fillId="6" borderId="4" xfId="0" applyFont="1" applyFill="1" applyBorder="1" applyAlignment="1">
      <alignment horizontal="center" vertical="center"/>
    </xf>
    <xf numFmtId="0" fontId="3" fillId="0" borderId="1" xfId="0" applyFont="1" applyBorder="1" applyAlignment="1">
      <alignment horizontal="center"/>
    </xf>
    <xf numFmtId="0" fontId="26" fillId="0" borderId="1" xfId="0" applyFont="1" applyBorder="1" applyAlignment="1">
      <alignment horizontal="center"/>
    </xf>
    <xf numFmtId="0" fontId="19" fillId="0" borderId="1" xfId="0" applyFont="1" applyBorder="1" applyAlignment="1">
      <alignment horizontal="center"/>
    </xf>
    <xf numFmtId="2" fontId="13" fillId="0" borderId="58" xfId="0" applyNumberFormat="1" applyFont="1" applyBorder="1" applyAlignment="1">
      <alignment horizontal="center" vertical="center"/>
    </xf>
    <xf numFmtId="2" fontId="13" fillId="0" borderId="17" xfId="0" applyNumberFormat="1" applyFont="1" applyBorder="1" applyAlignment="1">
      <alignment horizontal="center" vertical="center"/>
    </xf>
    <xf numFmtId="1" fontId="0" fillId="0" borderId="0" xfId="0" applyNumberFormat="1"/>
    <xf numFmtId="1" fontId="0" fillId="0" borderId="0" xfId="0" applyNumberFormat="1" applyAlignment="1">
      <alignment horizontal="center" vertical="center"/>
    </xf>
    <xf numFmtId="1" fontId="3" fillId="0" borderId="26" xfId="0" applyNumberFormat="1" applyFont="1" applyBorder="1" applyAlignment="1">
      <alignment horizontal="center" vertical="center"/>
    </xf>
    <xf numFmtId="0" fontId="6" fillId="0" borderId="17" xfId="0" applyFont="1" applyBorder="1" applyAlignment="1">
      <alignment horizontal="left" vertical="center" wrapText="1"/>
    </xf>
    <xf numFmtId="0" fontId="6" fillId="0" borderId="23"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4" fillId="0" borderId="8" xfId="0" applyFont="1" applyBorder="1" applyAlignment="1">
      <alignment horizontal="right" vertical="center"/>
    </xf>
    <xf numFmtId="0" fontId="4" fillId="0" borderId="17" xfId="0" applyFont="1" applyBorder="1" applyAlignment="1">
      <alignment horizontal="right" vertical="center"/>
    </xf>
    <xf numFmtId="0" fontId="5" fillId="0" borderId="23" xfId="0" applyFont="1" applyBorder="1" applyAlignment="1">
      <alignment horizontal="left" vertical="center"/>
    </xf>
    <xf numFmtId="0" fontId="5" fillId="0" borderId="40" xfId="0" applyFont="1" applyBorder="1" applyAlignment="1">
      <alignment horizontal="left" vertical="center"/>
    </xf>
    <xf numFmtId="0" fontId="5" fillId="0" borderId="56" xfId="0" applyFont="1" applyBorder="1" applyAlignment="1">
      <alignment horizontal="left" vertical="center"/>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5" fillId="0" borderId="14" xfId="0" applyFont="1" applyBorder="1" applyAlignment="1">
      <alignment horizontal="left" vertical="center"/>
    </xf>
    <xf numFmtId="0" fontId="5" fillId="0" borderId="51" xfId="0" applyFont="1" applyBorder="1" applyAlignment="1">
      <alignment horizontal="left" vertical="center"/>
    </xf>
    <xf numFmtId="0" fontId="5" fillId="0" borderId="19"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3"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3" fillId="0" borderId="24" xfId="0" applyFont="1" applyBorder="1" applyAlignment="1">
      <alignment horizontal="center"/>
    </xf>
    <xf numFmtId="0" fontId="3" fillId="0" borderId="25"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5" fillId="0" borderId="12"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6" fillId="0" borderId="4" xfId="0" applyFont="1" applyBorder="1" applyAlignment="1">
      <alignment horizontal="left" vertical="center" wrapText="1"/>
    </xf>
    <xf numFmtId="0" fontId="6" fillId="0" borderId="14" xfId="0" applyFont="1" applyBorder="1" applyAlignment="1">
      <alignment horizontal="left" vertical="center" wrapText="1"/>
    </xf>
    <xf numFmtId="0" fontId="5" fillId="0" borderId="24" xfId="0" applyFont="1" applyBorder="1" applyAlignment="1">
      <alignment horizontal="center"/>
    </xf>
    <xf numFmtId="0" fontId="5" fillId="0" borderId="25" xfId="0" applyFont="1" applyBorder="1" applyAlignment="1">
      <alignment horizontal="center"/>
    </xf>
    <xf numFmtId="0" fontId="5" fillId="0" borderId="27" xfId="0" applyFont="1" applyBorder="1" applyAlignment="1">
      <alignment horizontal="center"/>
    </xf>
    <xf numFmtId="0" fontId="5" fillId="0" borderId="0" xfId="0" applyFont="1" applyAlignment="1">
      <alignment horizontal="center"/>
    </xf>
    <xf numFmtId="0" fontId="5" fillId="0" borderId="29" xfId="0" applyFont="1" applyBorder="1" applyAlignment="1">
      <alignment horizontal="center"/>
    </xf>
    <xf numFmtId="0" fontId="5" fillId="0" borderId="38" xfId="0" applyFont="1" applyBorder="1" applyAlignment="1">
      <alignment horizontal="center"/>
    </xf>
    <xf numFmtId="0" fontId="7" fillId="0" borderId="24" xfId="0" applyFont="1" applyBorder="1" applyAlignment="1">
      <alignment horizontal="center" vertical="center"/>
    </xf>
    <xf numFmtId="0" fontId="7" fillId="0" borderId="34" xfId="0" applyFont="1" applyBorder="1" applyAlignment="1">
      <alignment horizontal="center" vertical="center"/>
    </xf>
    <xf numFmtId="0" fontId="7" fillId="0" borderId="25" xfId="0" applyFont="1" applyBorder="1" applyAlignment="1">
      <alignment horizontal="center" vertical="center"/>
    </xf>
    <xf numFmtId="0" fontId="4" fillId="0" borderId="12" xfId="0" applyFont="1" applyBorder="1" applyAlignment="1">
      <alignment horizontal="righ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3" xfId="0" applyFont="1" applyBorder="1" applyAlignment="1">
      <alignment horizontal="left" vertical="center"/>
    </xf>
    <xf numFmtId="0" fontId="4" fillId="0" borderId="23" xfId="0" applyFont="1" applyBorder="1" applyAlignment="1">
      <alignment horizontal="right"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right" vertical="center"/>
    </xf>
    <xf numFmtId="0" fontId="4" fillId="0" borderId="50" xfId="0" applyFont="1" applyBorder="1" applyAlignment="1">
      <alignment horizontal="left" vertical="center"/>
    </xf>
    <xf numFmtId="0" fontId="0" fillId="0" borderId="51" xfId="0" applyBorder="1" applyAlignment="1">
      <alignment horizontal="left" vertical="center"/>
    </xf>
    <xf numFmtId="0" fontId="0" fillId="0" borderId="6" xfId="0" applyBorder="1" applyAlignment="1">
      <alignment horizontal="left" vertical="center"/>
    </xf>
    <xf numFmtId="0" fontId="22" fillId="0" borderId="44" xfId="0" applyFont="1" applyBorder="1" applyAlignment="1">
      <alignment horizontal="left"/>
    </xf>
    <xf numFmtId="0" fontId="22" fillId="0" borderId="45" xfId="0" applyFont="1" applyBorder="1" applyAlignment="1">
      <alignment horizontal="left"/>
    </xf>
    <xf numFmtId="0" fontId="22" fillId="0" borderId="46" xfId="0" applyFont="1" applyBorder="1" applyAlignment="1">
      <alignment horizontal="left"/>
    </xf>
    <xf numFmtId="0" fontId="5" fillId="4" borderId="10" xfId="0" applyFont="1" applyFill="1" applyBorder="1" applyAlignment="1">
      <alignment horizontal="left" wrapText="1"/>
    </xf>
    <xf numFmtId="0" fontId="5" fillId="4" borderId="11" xfId="0" applyFont="1" applyFill="1" applyBorder="1" applyAlignment="1">
      <alignment horizontal="left" wrapText="1"/>
    </xf>
    <xf numFmtId="0" fontId="5" fillId="4" borderId="13" xfId="0" applyFont="1" applyFill="1" applyBorder="1" applyAlignment="1">
      <alignment horizontal="left" wrapText="1"/>
    </xf>
    <xf numFmtId="0" fontId="27" fillId="0" borderId="8" xfId="0" applyFont="1" applyBorder="1" applyAlignment="1">
      <alignment horizontal="left"/>
    </xf>
    <xf numFmtId="0" fontId="27" fillId="0" borderId="17" xfId="0" applyFont="1" applyBorder="1" applyAlignment="1">
      <alignment horizontal="left"/>
    </xf>
    <xf numFmtId="0" fontId="27" fillId="0" borderId="1" xfId="0" applyFont="1" applyBorder="1" applyAlignment="1">
      <alignment horizontal="left"/>
    </xf>
    <xf numFmtId="0" fontId="5" fillId="0" borderId="8" xfId="0" applyFont="1" applyBorder="1" applyAlignment="1">
      <alignment horizontal="left"/>
    </xf>
    <xf numFmtId="0" fontId="5" fillId="0" borderId="17" xfId="0" applyFont="1" applyBorder="1" applyAlignment="1">
      <alignment horizontal="left"/>
    </xf>
    <xf numFmtId="0" fontId="5" fillId="0" borderId="1" xfId="0" applyFont="1" applyBorder="1" applyAlignment="1">
      <alignment horizontal="left"/>
    </xf>
    <xf numFmtId="0" fontId="5" fillId="0" borderId="58" xfId="0" applyFont="1" applyBorder="1" applyAlignment="1">
      <alignment horizontal="center"/>
    </xf>
    <xf numFmtId="0" fontId="5" fillId="0" borderId="40" xfId="0" applyFont="1" applyBorder="1" applyAlignment="1">
      <alignment horizontal="center"/>
    </xf>
    <xf numFmtId="0" fontId="5" fillId="0" borderId="56" xfId="0" applyFont="1" applyBorder="1" applyAlignment="1">
      <alignment horizontal="center"/>
    </xf>
    <xf numFmtId="0" fontId="11" fillId="0" borderId="31" xfId="0" applyFont="1" applyBorder="1" applyAlignment="1">
      <alignment horizontal="center"/>
    </xf>
    <xf numFmtId="0" fontId="11" fillId="0" borderId="32" xfId="0" applyFont="1" applyBorder="1" applyAlignment="1">
      <alignment horizontal="center"/>
    </xf>
    <xf numFmtId="0" fontId="12" fillId="0" borderId="24" xfId="0" applyFont="1" applyBorder="1" applyAlignment="1">
      <alignment horizontal="center" vertical="center"/>
    </xf>
    <xf numFmtId="0" fontId="12" fillId="0" borderId="34" xfId="0" applyFont="1" applyBorder="1" applyAlignment="1">
      <alignment horizontal="center" vertical="center"/>
    </xf>
    <xf numFmtId="0" fontId="12" fillId="0" borderId="25" xfId="0" applyFont="1" applyBorder="1" applyAlignment="1">
      <alignment horizontal="center" vertical="center"/>
    </xf>
    <xf numFmtId="0" fontId="12" fillId="0" borderId="29" xfId="0" applyFont="1" applyBorder="1" applyAlignment="1">
      <alignment horizontal="center" vertical="center"/>
    </xf>
    <xf numFmtId="0" fontId="12" fillId="0" borderId="38" xfId="0" applyFont="1" applyBorder="1" applyAlignment="1">
      <alignment horizontal="center" vertical="center"/>
    </xf>
    <xf numFmtId="0" fontId="12" fillId="0" borderId="30" xfId="0" applyFont="1" applyBorder="1" applyAlignment="1">
      <alignment horizontal="center" vertical="center"/>
    </xf>
    <xf numFmtId="0" fontId="11" fillId="0" borderId="33" xfId="0" applyFont="1" applyBorder="1" applyAlignment="1">
      <alignment horizontal="center"/>
    </xf>
    <xf numFmtId="0" fontId="11" fillId="0" borderId="34" xfId="0" applyFont="1" applyBorder="1" applyAlignment="1">
      <alignment horizontal="center"/>
    </xf>
    <xf numFmtId="0" fontId="11" fillId="0" borderId="25" xfId="0" applyFont="1" applyBorder="1" applyAlignment="1">
      <alignment horizontal="center"/>
    </xf>
    <xf numFmtId="0" fontId="6" fillId="2" borderId="7"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23" fillId="0" borderId="8" xfId="0" applyFont="1" applyBorder="1" applyAlignment="1">
      <alignment horizontal="left" wrapText="1"/>
    </xf>
    <xf numFmtId="0" fontId="23" fillId="0" borderId="17" xfId="0" applyFont="1" applyBorder="1" applyAlignment="1">
      <alignment horizontal="left" wrapText="1"/>
    </xf>
    <xf numFmtId="0" fontId="23" fillId="0" borderId="1" xfId="0" applyFont="1" applyBorder="1" applyAlignment="1">
      <alignment horizontal="left" wrapText="1"/>
    </xf>
    <xf numFmtId="0" fontId="23" fillId="0" borderId="8" xfId="0" applyFont="1" applyBorder="1" applyAlignment="1">
      <alignment horizontal="left"/>
    </xf>
    <xf numFmtId="0" fontId="23" fillId="0" borderId="17" xfId="0" applyFont="1" applyBorder="1" applyAlignment="1">
      <alignment horizontal="left"/>
    </xf>
    <xf numFmtId="0" fontId="23" fillId="0" borderId="1" xfId="0" applyFont="1" applyBorder="1" applyAlignment="1">
      <alignment horizontal="left"/>
    </xf>
    <xf numFmtId="0" fontId="20" fillId="0" borderId="8" xfId="0" applyFont="1" applyBorder="1" applyAlignment="1">
      <alignment horizontal="left"/>
    </xf>
    <xf numFmtId="0" fontId="20" fillId="0" borderId="17" xfId="0" applyFont="1" applyBorder="1" applyAlignment="1">
      <alignment horizontal="left"/>
    </xf>
    <xf numFmtId="0" fontId="20" fillId="0" borderId="1" xfId="0" applyFont="1" applyBorder="1" applyAlignment="1">
      <alignment horizontal="left"/>
    </xf>
    <xf numFmtId="0" fontId="20" fillId="0" borderId="58" xfId="0" applyFont="1" applyBorder="1" applyAlignment="1">
      <alignment horizontal="center"/>
    </xf>
    <xf numFmtId="0" fontId="20" fillId="0" borderId="40" xfId="0" applyFont="1" applyBorder="1" applyAlignment="1">
      <alignment horizontal="center"/>
    </xf>
    <xf numFmtId="0" fontId="20" fillId="0" borderId="56" xfId="0" applyFont="1" applyBorder="1" applyAlignment="1">
      <alignment horizontal="center"/>
    </xf>
    <xf numFmtId="0" fontId="23" fillId="0" borderId="58"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59" xfId="0" applyFont="1" applyBorder="1" applyAlignment="1">
      <alignment horizontal="center" vertical="center" wrapText="1"/>
    </xf>
    <xf numFmtId="0" fontId="5" fillId="5" borderId="58" xfId="0" applyFont="1" applyFill="1" applyBorder="1" applyAlignment="1">
      <alignment horizontal="left" wrapText="1"/>
    </xf>
    <xf numFmtId="0" fontId="5" fillId="5" borderId="40" xfId="0" applyFont="1" applyFill="1" applyBorder="1" applyAlignment="1">
      <alignment horizontal="left" wrapText="1"/>
    </xf>
    <xf numFmtId="0" fontId="5" fillId="5" borderId="56" xfId="0" applyFont="1" applyFill="1" applyBorder="1" applyAlignment="1">
      <alignment horizontal="left" wrapText="1"/>
    </xf>
    <xf numFmtId="0" fontId="27" fillId="0" borderId="58" xfId="0" applyFont="1" applyBorder="1" applyAlignment="1">
      <alignment horizontal="center"/>
    </xf>
    <xf numFmtId="0" fontId="27" fillId="0" borderId="40" xfId="0" applyFont="1" applyBorder="1" applyAlignment="1">
      <alignment horizontal="center"/>
    </xf>
    <xf numFmtId="0" fontId="27" fillId="0" borderId="56" xfId="0" applyFont="1" applyBorder="1" applyAlignment="1">
      <alignment horizontal="center"/>
    </xf>
    <xf numFmtId="0" fontId="5" fillId="4" borderId="58" xfId="0" applyFont="1" applyFill="1" applyBorder="1" applyAlignment="1">
      <alignment horizontal="left" wrapText="1"/>
    </xf>
    <xf numFmtId="0" fontId="5" fillId="4" borderId="40" xfId="0" applyFont="1" applyFill="1" applyBorder="1" applyAlignment="1">
      <alignment horizontal="left" wrapText="1"/>
    </xf>
    <xf numFmtId="0" fontId="5" fillId="4" borderId="56" xfId="0" applyFont="1" applyFill="1" applyBorder="1" applyAlignment="1">
      <alignment horizontal="left" wrapText="1"/>
    </xf>
    <xf numFmtId="0" fontId="20" fillId="0" borderId="58" xfId="0" applyFont="1" applyBorder="1" applyAlignment="1">
      <alignment horizontal="left"/>
    </xf>
    <xf numFmtId="0" fontId="20" fillId="0" borderId="40" xfId="0" applyFont="1" applyBorder="1" applyAlignment="1">
      <alignment horizontal="left"/>
    </xf>
    <xf numFmtId="0" fontId="20" fillId="0" borderId="56" xfId="0" applyFont="1" applyBorder="1" applyAlignment="1">
      <alignment horizontal="left"/>
    </xf>
    <xf numFmtId="0" fontId="3" fillId="0" borderId="29" xfId="0" quotePrefix="1" applyFont="1" applyBorder="1" applyAlignment="1">
      <alignment horizontal="center" vertical="center"/>
    </xf>
    <xf numFmtId="0" fontId="3" fillId="0" borderId="38" xfId="0" quotePrefix="1" applyFont="1" applyBorder="1" applyAlignment="1">
      <alignment horizontal="center" vertical="center"/>
    </xf>
    <xf numFmtId="0" fontId="3" fillId="0" borderId="30" xfId="0" quotePrefix="1" applyFont="1" applyBorder="1" applyAlignment="1">
      <alignment horizontal="center" vertical="center"/>
    </xf>
    <xf numFmtId="0" fontId="5" fillId="5" borderId="10" xfId="0" applyFont="1" applyFill="1" applyBorder="1" applyAlignment="1">
      <alignment horizontal="left" wrapText="1"/>
    </xf>
    <xf numFmtId="0" fontId="5" fillId="5" borderId="11" xfId="0" applyFont="1" applyFill="1" applyBorder="1" applyAlignment="1">
      <alignment horizontal="left" wrapText="1"/>
    </xf>
    <xf numFmtId="0" fontId="5" fillId="5" borderId="13" xfId="0" applyFont="1" applyFill="1" applyBorder="1" applyAlignment="1">
      <alignment horizontal="left" wrapText="1"/>
    </xf>
    <xf numFmtId="0" fontId="5" fillId="5" borderId="7" xfId="0" applyFont="1" applyFill="1" applyBorder="1" applyAlignment="1">
      <alignment horizontal="left" wrapText="1"/>
    </xf>
    <xf numFmtId="0" fontId="5" fillId="5" borderId="15" xfId="0" applyFont="1" applyFill="1" applyBorder="1" applyAlignment="1">
      <alignment horizontal="left" wrapText="1"/>
    </xf>
    <xf numFmtId="0" fontId="5" fillId="5" borderId="2" xfId="0" applyFont="1" applyFill="1" applyBorder="1" applyAlignment="1">
      <alignment horizontal="left" wrapText="1"/>
    </xf>
    <xf numFmtId="0" fontId="27" fillId="0" borderId="58" xfId="0" applyFont="1" applyBorder="1" applyAlignment="1">
      <alignment horizontal="left"/>
    </xf>
    <xf numFmtId="0" fontId="27" fillId="0" borderId="40" xfId="0" applyFont="1" applyBorder="1" applyAlignment="1">
      <alignment horizontal="left"/>
    </xf>
    <xf numFmtId="0" fontId="27" fillId="0" borderId="56" xfId="0" applyFont="1" applyBorder="1" applyAlignment="1">
      <alignment horizontal="left"/>
    </xf>
    <xf numFmtId="0" fontId="5" fillId="0" borderId="58" xfId="0" applyFont="1" applyBorder="1" applyAlignment="1">
      <alignment horizontal="left"/>
    </xf>
    <xf numFmtId="0" fontId="5" fillId="0" borderId="40" xfId="0" applyFont="1" applyBorder="1" applyAlignment="1">
      <alignment horizontal="left"/>
    </xf>
    <xf numFmtId="0" fontId="5" fillId="0" borderId="56" xfId="0" applyFont="1" applyBorder="1" applyAlignment="1">
      <alignment horizontal="left"/>
    </xf>
    <xf numFmtId="0" fontId="4" fillId="0" borderId="34" xfId="0" applyFont="1" applyBorder="1" applyAlignment="1">
      <alignment horizontal="center" vertical="center"/>
    </xf>
    <xf numFmtId="0" fontId="4" fillId="0" borderId="63"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6" fillId="0" borderId="0" xfId="0" applyFont="1" applyAlignment="1">
      <alignment horizontal="center" vertical="center" textRotation="90"/>
    </xf>
    <xf numFmtId="0" fontId="8" fillId="0" borderId="31" xfId="0" quotePrefix="1" applyFont="1" applyBorder="1" applyAlignment="1">
      <alignment horizontal="center" vertical="center"/>
    </xf>
    <xf numFmtId="0" fontId="8" fillId="0" borderId="32" xfId="0" quotePrefix="1" applyFont="1" applyBorder="1" applyAlignment="1">
      <alignment horizontal="center" vertical="center"/>
    </xf>
    <xf numFmtId="0" fontId="8" fillId="0" borderId="33" xfId="0" quotePrefix="1" applyFont="1" applyBorder="1" applyAlignment="1">
      <alignment horizontal="center" vertical="center"/>
    </xf>
    <xf numFmtId="0" fontId="4" fillId="0" borderId="41" xfId="0" applyFont="1" applyBorder="1" applyAlignment="1">
      <alignment horizontal="center" vertical="center"/>
    </xf>
    <xf numFmtId="0" fontId="4" fillId="0" borderId="43" xfId="0" applyFont="1" applyBorder="1" applyAlignment="1">
      <alignment horizontal="center" vertical="center"/>
    </xf>
    <xf numFmtId="0" fontId="4" fillId="0" borderId="47" xfId="0" applyFont="1" applyBorder="1" applyAlignment="1">
      <alignment horizontal="center" vertical="center"/>
    </xf>
    <xf numFmtId="0" fontId="6" fillId="0" borderId="0" xfId="0" applyFont="1" applyAlignment="1">
      <alignment horizontal="center" vertical="center" textRotation="90" wrapText="1"/>
    </xf>
    <xf numFmtId="14" fontId="4" fillId="0" borderId="39" xfId="0" applyNumberFormat="1" applyFont="1" applyBorder="1" applyAlignment="1">
      <alignment horizontal="center" vertical="center"/>
    </xf>
    <xf numFmtId="0" fontId="0" fillId="0" borderId="39" xfId="0" applyBorder="1" applyAlignment="1">
      <alignment horizontal="center" vertical="center"/>
    </xf>
    <xf numFmtId="0" fontId="4" fillId="0" borderId="52" xfId="0" applyFont="1" applyBorder="1" applyAlignment="1">
      <alignment horizontal="center" vertical="center"/>
    </xf>
    <xf numFmtId="0" fontId="4" fillId="0" borderId="61" xfId="0" applyFont="1" applyBorder="1" applyAlignment="1">
      <alignment horizontal="center" vertical="center"/>
    </xf>
    <xf numFmtId="0" fontId="4" fillId="0" borderId="64" xfId="0" applyFont="1" applyBorder="1" applyAlignment="1">
      <alignment horizontal="center" vertical="center"/>
    </xf>
    <xf numFmtId="0" fontId="3" fillId="0" borderId="24" xfId="0" applyFont="1" applyBorder="1" applyAlignment="1">
      <alignment horizontal="center" vertical="center"/>
    </xf>
    <xf numFmtId="0" fontId="3" fillId="0" borderId="34"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8" xfId="0" applyFont="1" applyBorder="1" applyAlignment="1">
      <alignment horizontal="center" vertical="center"/>
    </xf>
    <xf numFmtId="0" fontId="3" fillId="0" borderId="30" xfId="0" applyFont="1" applyBorder="1" applyAlignment="1">
      <alignment horizontal="center" vertical="center"/>
    </xf>
    <xf numFmtId="0" fontId="4" fillId="0" borderId="0" xfId="0" applyFont="1" applyAlignment="1">
      <alignment horizontal="left"/>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left" vertical="center"/>
    </xf>
    <xf numFmtId="0" fontId="5" fillId="0" borderId="1"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4" fillId="0" borderId="7" xfId="0" applyFont="1" applyBorder="1" applyAlignment="1">
      <alignment horizontal="right" vertical="center"/>
    </xf>
    <xf numFmtId="0" fontId="4" fillId="0" borderId="16" xfId="0" applyFont="1" applyBorder="1" applyAlignment="1">
      <alignment horizontal="right" vertical="center"/>
    </xf>
    <xf numFmtId="2" fontId="3" fillId="0" borderId="17" xfId="0" applyNumberFormat="1" applyFont="1" applyFill="1" applyBorder="1" applyAlignment="1">
      <alignment horizontal="center" vertical="center"/>
    </xf>
  </cellXfs>
  <cellStyles count="2">
    <cellStyle name="Hyperlink" xfId="1" builtinId="8"/>
    <cellStyle name="Normal" xfId="0" builtinId="0"/>
  </cellStyles>
  <dxfs count="6">
    <dxf>
      <font>
        <b/>
        <i/>
        <condense val="0"/>
        <extend val="0"/>
        <color indexed="10"/>
      </font>
    </dxf>
    <dxf>
      <font>
        <b/>
        <i/>
        <strike val="0"/>
        <condense val="0"/>
        <extend val="0"/>
        <color indexed="10"/>
      </font>
    </dxf>
    <dxf>
      <font>
        <b/>
        <i/>
        <condense val="0"/>
        <extend val="0"/>
        <color indexed="10"/>
      </font>
    </dxf>
    <dxf>
      <font>
        <b/>
        <i/>
        <condense val="0"/>
        <extend val="0"/>
        <color indexed="10"/>
      </font>
    </dxf>
    <dxf>
      <font>
        <b/>
        <i/>
        <condense val="0"/>
        <extend val="0"/>
        <color indexed="10"/>
      </font>
    </dxf>
    <dxf>
      <font>
        <b/>
        <i/>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209550</xdr:rowOff>
    </xdr:from>
    <xdr:to>
      <xdr:col>1</xdr:col>
      <xdr:colOff>1223010</xdr:colOff>
      <xdr:row>2</xdr:row>
      <xdr:rowOff>156210</xdr:rowOff>
    </xdr:to>
    <xdr:pic>
      <xdr:nvPicPr>
        <xdr:cNvPr id="11301" name="Picture 1">
          <a:extLst>
            <a:ext uri="{FF2B5EF4-FFF2-40B4-BE49-F238E27FC236}">
              <a16:creationId xmlns:a16="http://schemas.microsoft.com/office/drawing/2014/main" id="{00000000-0008-0000-0000-0000252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09550"/>
          <a:ext cx="17430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0</xdr:rowOff>
    </xdr:from>
    <xdr:to>
      <xdr:col>1</xdr:col>
      <xdr:colOff>720090</xdr:colOff>
      <xdr:row>3</xdr:row>
      <xdr:rowOff>38100</xdr:rowOff>
    </xdr:to>
    <xdr:pic>
      <xdr:nvPicPr>
        <xdr:cNvPr id="2" name="Picture 1">
          <a:extLst>
            <a:ext uri="{FF2B5EF4-FFF2-40B4-BE49-F238E27FC236}">
              <a16:creationId xmlns:a16="http://schemas.microsoft.com/office/drawing/2014/main" id="{542A90D9-5E19-4513-84D9-46805C6766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42900"/>
          <a:ext cx="176784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225233</xdr:colOff>
      <xdr:row>4</xdr:row>
      <xdr:rowOff>122465</xdr:rowOff>
    </xdr:from>
    <xdr:to>
      <xdr:col>44</xdr:col>
      <xdr:colOff>210872</xdr:colOff>
      <xdr:row>25</xdr:row>
      <xdr:rowOff>172738</xdr:rowOff>
    </xdr:to>
    <xdr:pic>
      <xdr:nvPicPr>
        <xdr:cNvPr id="3" name="Picture 2">
          <a:extLst>
            <a:ext uri="{FF2B5EF4-FFF2-40B4-BE49-F238E27FC236}">
              <a16:creationId xmlns:a16="http://schemas.microsoft.com/office/drawing/2014/main" id="{F4623479-632B-48B0-BB0C-1C1228E3FD75}"/>
            </a:ext>
          </a:extLst>
        </xdr:cNvPr>
        <xdr:cNvPicPr>
          <a:picLocks noChangeAspect="1"/>
        </xdr:cNvPicPr>
      </xdr:nvPicPr>
      <xdr:blipFill>
        <a:blip xmlns:r="http://schemas.openxmlformats.org/officeDocument/2006/relationships" r:embed="rId2"/>
        <a:stretch>
          <a:fillRect/>
        </a:stretch>
      </xdr:blipFill>
      <xdr:spPr>
        <a:xfrm>
          <a:off x="23856758" y="1094015"/>
          <a:ext cx="9739239" cy="4669898"/>
        </a:xfrm>
        <a:prstGeom prst="rect">
          <a:avLst/>
        </a:prstGeom>
      </xdr:spPr>
    </xdr:pic>
    <xdr:clientData/>
  </xdr:twoCellAnchor>
  <xdr:twoCellAnchor editAs="oneCell">
    <xdr:from>
      <xdr:col>29</xdr:col>
      <xdr:colOff>7519</xdr:colOff>
      <xdr:row>30</xdr:row>
      <xdr:rowOff>54429</xdr:rowOff>
    </xdr:from>
    <xdr:to>
      <xdr:col>43</xdr:col>
      <xdr:colOff>199243</xdr:colOff>
      <xdr:row>54</xdr:row>
      <xdr:rowOff>16962</xdr:rowOff>
    </xdr:to>
    <xdr:pic>
      <xdr:nvPicPr>
        <xdr:cNvPr id="4" name="Picture 3">
          <a:extLst>
            <a:ext uri="{FF2B5EF4-FFF2-40B4-BE49-F238E27FC236}">
              <a16:creationId xmlns:a16="http://schemas.microsoft.com/office/drawing/2014/main" id="{D78F5D8D-AB77-4077-971C-D2E305F38D84}"/>
            </a:ext>
          </a:extLst>
        </xdr:cNvPr>
        <xdr:cNvPicPr>
          <a:picLocks noChangeAspect="1"/>
        </xdr:cNvPicPr>
      </xdr:nvPicPr>
      <xdr:blipFill>
        <a:blip xmlns:r="http://schemas.openxmlformats.org/officeDocument/2006/relationships" r:embed="rId3"/>
        <a:stretch>
          <a:fillRect/>
        </a:stretch>
      </xdr:blipFill>
      <xdr:spPr>
        <a:xfrm>
          <a:off x="24248644" y="6598104"/>
          <a:ext cx="8726124" cy="4534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0</xdr:rowOff>
    </xdr:from>
    <xdr:to>
      <xdr:col>1</xdr:col>
      <xdr:colOff>720090</xdr:colOff>
      <xdr:row>3</xdr:row>
      <xdr:rowOff>38100</xdr:rowOff>
    </xdr:to>
    <xdr:pic>
      <xdr:nvPicPr>
        <xdr:cNvPr id="2" name="Picture 1">
          <a:extLst>
            <a:ext uri="{FF2B5EF4-FFF2-40B4-BE49-F238E27FC236}">
              <a16:creationId xmlns:a16="http://schemas.microsoft.com/office/drawing/2014/main" id="{ACABFFBB-CA14-448B-96C9-8E8C962B7B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42900"/>
          <a:ext cx="176784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225233</xdr:colOff>
      <xdr:row>4</xdr:row>
      <xdr:rowOff>122465</xdr:rowOff>
    </xdr:from>
    <xdr:to>
      <xdr:col>44</xdr:col>
      <xdr:colOff>210872</xdr:colOff>
      <xdr:row>25</xdr:row>
      <xdr:rowOff>172738</xdr:rowOff>
    </xdr:to>
    <xdr:pic>
      <xdr:nvPicPr>
        <xdr:cNvPr id="3" name="Picture 2">
          <a:extLst>
            <a:ext uri="{FF2B5EF4-FFF2-40B4-BE49-F238E27FC236}">
              <a16:creationId xmlns:a16="http://schemas.microsoft.com/office/drawing/2014/main" id="{B297E453-8AE2-4946-BF44-16D43398A313}"/>
            </a:ext>
          </a:extLst>
        </xdr:cNvPr>
        <xdr:cNvPicPr>
          <a:picLocks noChangeAspect="1"/>
        </xdr:cNvPicPr>
      </xdr:nvPicPr>
      <xdr:blipFill>
        <a:blip xmlns:r="http://schemas.openxmlformats.org/officeDocument/2006/relationships" r:embed="rId2"/>
        <a:stretch>
          <a:fillRect/>
        </a:stretch>
      </xdr:blipFill>
      <xdr:spPr>
        <a:xfrm>
          <a:off x="23028083" y="1094015"/>
          <a:ext cx="9739240" cy="4669898"/>
        </a:xfrm>
        <a:prstGeom prst="rect">
          <a:avLst/>
        </a:prstGeom>
      </xdr:spPr>
    </xdr:pic>
    <xdr:clientData/>
  </xdr:twoCellAnchor>
  <xdr:twoCellAnchor editAs="oneCell">
    <xdr:from>
      <xdr:col>29</xdr:col>
      <xdr:colOff>7519</xdr:colOff>
      <xdr:row>30</xdr:row>
      <xdr:rowOff>54429</xdr:rowOff>
    </xdr:from>
    <xdr:to>
      <xdr:col>43</xdr:col>
      <xdr:colOff>199243</xdr:colOff>
      <xdr:row>54</xdr:row>
      <xdr:rowOff>16962</xdr:rowOff>
    </xdr:to>
    <xdr:pic>
      <xdr:nvPicPr>
        <xdr:cNvPr id="4" name="Picture 3">
          <a:extLst>
            <a:ext uri="{FF2B5EF4-FFF2-40B4-BE49-F238E27FC236}">
              <a16:creationId xmlns:a16="http://schemas.microsoft.com/office/drawing/2014/main" id="{FBFD202B-59B2-4E13-9EC5-2E72EB655185}"/>
            </a:ext>
          </a:extLst>
        </xdr:cNvPr>
        <xdr:cNvPicPr>
          <a:picLocks noChangeAspect="1"/>
        </xdr:cNvPicPr>
      </xdr:nvPicPr>
      <xdr:blipFill>
        <a:blip xmlns:r="http://schemas.openxmlformats.org/officeDocument/2006/relationships" r:embed="rId3"/>
        <a:stretch>
          <a:fillRect/>
        </a:stretch>
      </xdr:blipFill>
      <xdr:spPr>
        <a:xfrm>
          <a:off x="23419969" y="6598104"/>
          <a:ext cx="8726123" cy="45345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257175</xdr:rowOff>
    </xdr:from>
    <xdr:to>
      <xdr:col>2</xdr:col>
      <xdr:colOff>456190</xdr:colOff>
      <xdr:row>2</xdr:row>
      <xdr:rowOff>148590</xdr:rowOff>
    </xdr:to>
    <xdr:pic>
      <xdr:nvPicPr>
        <xdr:cNvPr id="10276" name="Picture 1">
          <a:extLst>
            <a:ext uri="{FF2B5EF4-FFF2-40B4-BE49-F238E27FC236}">
              <a16:creationId xmlns:a16="http://schemas.microsoft.com/office/drawing/2014/main" id="{00000000-0008-0000-0200-0000242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257175"/>
          <a:ext cx="1581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loradohazardmapping.com/Files/FINAL%20DLOMC-Guidelines-5-13-2010.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loradohazardmapping.com/Files/FINAL%20DLOMC-Guidelines-5-13-2010.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coloradohazardmapping.com/Files/FINAL%20DLOMC-Guidelines-5-13-2010.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coloradohazardmapping.com/Files/FINAL%20DLOMC-Guidelines-5-13-2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
  <sheetViews>
    <sheetView workbookViewId="0">
      <selection activeCell="K18" sqref="K18"/>
    </sheetView>
  </sheetViews>
  <sheetFormatPr defaultRowHeight="12.75" x14ac:dyDescent="0.2"/>
  <cols>
    <col min="1" max="1" width="8.5703125" bestFit="1" customWidth="1"/>
    <col min="2" max="2" width="19.28515625" customWidth="1"/>
    <col min="3" max="3" width="13.7109375" customWidth="1"/>
    <col min="4" max="4" width="18.7109375" customWidth="1"/>
    <col min="5" max="6" width="11.42578125" customWidth="1"/>
    <col min="7" max="7" width="11.7109375" customWidth="1"/>
    <col min="8" max="8" width="16.5703125" customWidth="1"/>
  </cols>
  <sheetData>
    <row r="1" spans="1:20" s="1" customFormat="1" ht="24" thickBot="1" x14ac:dyDescent="0.25">
      <c r="A1" s="243"/>
      <c r="B1" s="244"/>
      <c r="C1" s="249" t="s">
        <v>78</v>
      </c>
      <c r="D1" s="250"/>
      <c r="E1" s="250"/>
      <c r="F1" s="250"/>
      <c r="G1" s="250"/>
      <c r="H1" s="251"/>
    </row>
    <row r="2" spans="1:20" s="2" customFormat="1" ht="15.75" x14ac:dyDescent="0.25">
      <c r="A2" s="245"/>
      <c r="B2" s="246"/>
      <c r="C2" s="252" t="s">
        <v>7</v>
      </c>
      <c r="D2" s="253"/>
      <c r="E2" s="254" t="s">
        <v>82</v>
      </c>
      <c r="F2" s="255"/>
      <c r="G2" s="255"/>
      <c r="H2" s="256"/>
    </row>
    <row r="3" spans="1:20" ht="15.75" x14ac:dyDescent="0.2">
      <c r="A3" s="245"/>
      <c r="B3" s="246"/>
      <c r="C3" s="224" t="s">
        <v>8</v>
      </c>
      <c r="D3" s="225"/>
      <c r="E3" s="226" t="s">
        <v>83</v>
      </c>
      <c r="F3" s="227"/>
      <c r="G3" s="227"/>
      <c r="H3" s="228"/>
    </row>
    <row r="4" spans="1:20" ht="16.5" thickBot="1" x14ac:dyDescent="0.25">
      <c r="A4" s="247"/>
      <c r="B4" s="248"/>
      <c r="C4" s="229" t="s">
        <v>19</v>
      </c>
      <c r="D4" s="230"/>
      <c r="E4" s="231" t="s">
        <v>84</v>
      </c>
      <c r="F4" s="232"/>
      <c r="G4" s="232"/>
      <c r="H4" s="233"/>
    </row>
    <row r="5" spans="1:20" ht="15.75" x14ac:dyDescent="0.2">
      <c r="A5" s="37" t="s">
        <v>73</v>
      </c>
      <c r="B5" s="29"/>
      <c r="C5" s="29"/>
      <c r="D5" s="32"/>
      <c r="E5" s="32"/>
      <c r="F5" s="33"/>
      <c r="G5" s="33"/>
      <c r="H5" s="36" t="s">
        <v>72</v>
      </c>
      <c r="I5" s="33"/>
      <c r="J5" s="15"/>
      <c r="K5" s="33"/>
      <c r="L5" s="33"/>
      <c r="M5" s="33"/>
      <c r="N5" s="33"/>
      <c r="O5" s="33"/>
      <c r="P5" s="33"/>
      <c r="Q5" s="33"/>
      <c r="R5" s="33"/>
      <c r="S5" s="33"/>
      <c r="T5" s="33"/>
    </row>
    <row r="7" spans="1:20" ht="13.5" thickBot="1" x14ac:dyDescent="0.25">
      <c r="A7" s="3"/>
      <c r="B7" s="3"/>
      <c r="C7" s="3"/>
      <c r="D7" s="3"/>
      <c r="E7" s="3"/>
      <c r="F7" s="3"/>
      <c r="G7" s="3"/>
      <c r="H7" s="3"/>
    </row>
    <row r="8" spans="1:20" ht="15.75" x14ac:dyDescent="0.2">
      <c r="A8" s="234" t="s">
        <v>80</v>
      </c>
      <c r="B8" s="235"/>
      <c r="C8" s="235"/>
      <c r="D8" s="236"/>
      <c r="E8" s="237" t="s">
        <v>24</v>
      </c>
      <c r="F8" s="238"/>
      <c r="G8" s="239" t="s">
        <v>25</v>
      </c>
      <c r="H8" s="240"/>
    </row>
    <row r="9" spans="1:20" ht="27.75" customHeight="1" thickBot="1" x14ac:dyDescent="0.25">
      <c r="A9" s="30" t="s">
        <v>26</v>
      </c>
      <c r="B9" s="241" t="s">
        <v>79</v>
      </c>
      <c r="C9" s="241"/>
      <c r="D9" s="242"/>
      <c r="E9" s="24" t="s">
        <v>27</v>
      </c>
      <c r="F9" s="7" t="s">
        <v>28</v>
      </c>
      <c r="G9" s="6" t="s">
        <v>29</v>
      </c>
      <c r="H9" s="7" t="s">
        <v>30</v>
      </c>
    </row>
    <row r="10" spans="1:20" ht="20.100000000000001" customHeight="1" x14ac:dyDescent="0.2">
      <c r="A10" s="8">
        <v>3.1</v>
      </c>
      <c r="B10" s="222" t="s">
        <v>31</v>
      </c>
      <c r="C10" s="222"/>
      <c r="D10" s="223"/>
      <c r="E10" s="23"/>
      <c r="F10" s="28"/>
      <c r="G10" s="28"/>
      <c r="H10" s="5"/>
    </row>
    <row r="11" spans="1:20" ht="20.100000000000001" customHeight="1" x14ac:dyDescent="0.2">
      <c r="A11" s="9" t="s">
        <v>32</v>
      </c>
      <c r="B11" s="220" t="s">
        <v>33</v>
      </c>
      <c r="C11" s="220"/>
      <c r="D11" s="221"/>
      <c r="E11" s="22"/>
      <c r="F11" s="26"/>
      <c r="G11" s="28"/>
      <c r="H11" s="4"/>
    </row>
    <row r="12" spans="1:20" ht="20.100000000000001" customHeight="1" x14ac:dyDescent="0.2">
      <c r="A12" s="9" t="s">
        <v>34</v>
      </c>
      <c r="B12" s="220" t="s">
        <v>35</v>
      </c>
      <c r="C12" s="220"/>
      <c r="D12" s="221"/>
      <c r="E12" s="22"/>
      <c r="F12" s="26"/>
      <c r="G12" s="28"/>
      <c r="H12" s="4"/>
    </row>
    <row r="13" spans="1:20" ht="27" customHeight="1" x14ac:dyDescent="0.2">
      <c r="A13" s="9">
        <v>3.3</v>
      </c>
      <c r="B13" s="220" t="s">
        <v>36</v>
      </c>
      <c r="C13" s="220"/>
      <c r="D13" s="221"/>
      <c r="E13" s="22"/>
      <c r="F13" s="26"/>
      <c r="G13" s="28"/>
      <c r="H13" s="4"/>
    </row>
    <row r="14" spans="1:20" ht="20.100000000000001" customHeight="1" x14ac:dyDescent="0.2">
      <c r="A14" s="9">
        <v>3.4</v>
      </c>
      <c r="B14" s="220" t="s">
        <v>37</v>
      </c>
      <c r="C14" s="220"/>
      <c r="D14" s="221"/>
      <c r="E14" s="22"/>
      <c r="F14" s="26"/>
      <c r="G14" s="28"/>
      <c r="H14" s="4"/>
    </row>
    <row r="15" spans="1:20" ht="20.100000000000001" customHeight="1" x14ac:dyDescent="0.2">
      <c r="A15" s="9">
        <v>3.5</v>
      </c>
      <c r="B15" s="220" t="s">
        <v>38</v>
      </c>
      <c r="C15" s="220"/>
      <c r="D15" s="221"/>
      <c r="E15" s="22"/>
      <c r="F15" s="26"/>
      <c r="G15" s="28"/>
      <c r="H15" s="4"/>
    </row>
    <row r="16" spans="1:20" ht="20.100000000000001" customHeight="1" x14ac:dyDescent="0.2">
      <c r="A16" s="9">
        <v>3.6</v>
      </c>
      <c r="B16" s="220" t="s">
        <v>39</v>
      </c>
      <c r="C16" s="220"/>
      <c r="D16" s="221"/>
      <c r="E16" s="22"/>
      <c r="F16" s="26"/>
      <c r="G16" s="28"/>
      <c r="H16" s="4"/>
    </row>
    <row r="17" spans="1:8" ht="20.100000000000001" customHeight="1" x14ac:dyDescent="0.2">
      <c r="A17" s="9">
        <v>3.7</v>
      </c>
      <c r="B17" s="220" t="s">
        <v>40</v>
      </c>
      <c r="C17" s="220"/>
      <c r="D17" s="221"/>
      <c r="E17" s="22"/>
      <c r="F17" s="26"/>
      <c r="G17" s="28"/>
      <c r="H17" s="4"/>
    </row>
    <row r="18" spans="1:8" ht="20.100000000000001" customHeight="1" x14ac:dyDescent="0.2">
      <c r="A18" s="9" t="s">
        <v>41</v>
      </c>
      <c r="B18" s="220" t="s">
        <v>42</v>
      </c>
      <c r="C18" s="220"/>
      <c r="D18" s="221"/>
      <c r="E18" s="22"/>
      <c r="F18" s="26"/>
      <c r="G18" s="28"/>
      <c r="H18" s="4"/>
    </row>
    <row r="19" spans="1:8" ht="20.100000000000001" customHeight="1" x14ac:dyDescent="0.2">
      <c r="A19" s="9" t="s">
        <v>43</v>
      </c>
      <c r="B19" s="220" t="s">
        <v>44</v>
      </c>
      <c r="C19" s="220"/>
      <c r="D19" s="221"/>
      <c r="E19" s="22"/>
      <c r="F19" s="26"/>
      <c r="G19" s="28"/>
      <c r="H19" s="4"/>
    </row>
    <row r="20" spans="1:8" ht="20.100000000000001" customHeight="1" x14ac:dyDescent="0.2">
      <c r="A20" s="9">
        <v>3.9</v>
      </c>
      <c r="B20" s="220" t="s">
        <v>45</v>
      </c>
      <c r="C20" s="220"/>
      <c r="D20" s="221"/>
      <c r="E20" s="22"/>
      <c r="F20" s="26"/>
      <c r="G20" s="28"/>
      <c r="H20" s="4"/>
    </row>
    <row r="21" spans="1:8" ht="20.100000000000001" customHeight="1" x14ac:dyDescent="0.2">
      <c r="A21" s="11">
        <v>3.1</v>
      </c>
      <c r="B21" s="220" t="s">
        <v>46</v>
      </c>
      <c r="C21" s="220"/>
      <c r="D21" s="221"/>
      <c r="E21" s="22"/>
      <c r="F21" s="26"/>
      <c r="G21" s="28"/>
      <c r="H21" s="4"/>
    </row>
    <row r="22" spans="1:8" ht="20.100000000000001" customHeight="1" x14ac:dyDescent="0.2">
      <c r="A22" s="11">
        <v>3.11</v>
      </c>
      <c r="B22" s="220" t="s">
        <v>47</v>
      </c>
      <c r="C22" s="220"/>
      <c r="D22" s="221"/>
      <c r="E22" s="22"/>
      <c r="F22" s="26"/>
      <c r="G22" s="10"/>
      <c r="H22" s="4"/>
    </row>
    <row r="23" spans="1:8" ht="20.100000000000001" customHeight="1" thickBot="1" x14ac:dyDescent="0.25">
      <c r="A23" s="12">
        <v>3.12</v>
      </c>
      <c r="B23" s="257" t="s">
        <v>81</v>
      </c>
      <c r="C23" s="257"/>
      <c r="D23" s="258"/>
      <c r="E23" s="27"/>
      <c r="F23" s="25"/>
      <c r="G23" s="13"/>
      <c r="H23" s="14"/>
    </row>
  </sheetData>
  <mergeCells count="26">
    <mergeCell ref="B22:D22"/>
    <mergeCell ref="B23:D23"/>
    <mergeCell ref="B18:D18"/>
    <mergeCell ref="B19:D19"/>
    <mergeCell ref="B20:D20"/>
    <mergeCell ref="B21:D21"/>
    <mergeCell ref="C3:D3"/>
    <mergeCell ref="E3:H3"/>
    <mergeCell ref="B14:D14"/>
    <mergeCell ref="B15:D15"/>
    <mergeCell ref="B16:D16"/>
    <mergeCell ref="C4:D4"/>
    <mergeCell ref="E4:H4"/>
    <mergeCell ref="A8:D8"/>
    <mergeCell ref="E8:F8"/>
    <mergeCell ref="G8:H8"/>
    <mergeCell ref="B9:D9"/>
    <mergeCell ref="A1:B4"/>
    <mergeCell ref="C1:H1"/>
    <mergeCell ref="C2:D2"/>
    <mergeCell ref="E2:H2"/>
    <mergeCell ref="B17:D17"/>
    <mergeCell ref="B10:D10"/>
    <mergeCell ref="B11:D11"/>
    <mergeCell ref="B12:D12"/>
    <mergeCell ref="B13:D13"/>
  </mergeCells>
  <phoneticPr fontId="0" type="noConversion"/>
  <conditionalFormatting sqref="E10:F23">
    <cfRule type="cellIs" dxfId="5" priority="13" stopIfTrue="1" operator="greaterThan">
      <formula>0.1</formula>
    </cfRule>
  </conditionalFormatting>
  <conditionalFormatting sqref="G10:G21">
    <cfRule type="cellIs" dxfId="4" priority="1" stopIfTrue="1" operator="greaterThan">
      <formula>0.1</formula>
    </cfRule>
  </conditionalFormatting>
  <conditionalFormatting sqref="H10:H23">
    <cfRule type="cellIs" dxfId="3" priority="14" stopIfTrue="1" operator="greaterThan">
      <formula>0.05</formula>
    </cfRule>
  </conditionalFormatting>
  <hyperlinks>
    <hyperlink ref="H5" r:id="rId1" xr:uid="{00000000-0004-0000-0000-000000000000}"/>
  </hyperlinks>
  <pageMargins left="0.75" right="0.75" top="1" bottom="1" header="0.5" footer="0.5"/>
  <pageSetup orientation="portrait" verticalDpi="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1C79B-2609-4C05-B110-EE08B66E2602}">
  <sheetPr>
    <pageSetUpPr fitToPage="1"/>
  </sheetPr>
  <dimension ref="A1:Z209"/>
  <sheetViews>
    <sheetView topLeftCell="C1" zoomScale="90" zoomScaleNormal="90" workbookViewId="0">
      <pane ySplit="11" topLeftCell="A110" activePane="bottomLeft" state="frozen"/>
      <selection pane="bottomLeft" activeCell="O141" sqref="O141"/>
    </sheetView>
  </sheetViews>
  <sheetFormatPr defaultColWidth="9.140625" defaultRowHeight="15" x14ac:dyDescent="0.2"/>
  <cols>
    <col min="1" max="1" width="16.85546875" style="15" customWidth="1"/>
    <col min="2" max="2" width="15" style="15" customWidth="1"/>
    <col min="3" max="3" width="15.140625" style="15" customWidth="1"/>
    <col min="4" max="4" width="11.140625" style="15" customWidth="1"/>
    <col min="5" max="5" width="11.85546875" style="15" customWidth="1"/>
    <col min="6" max="6" width="12.5703125" style="15" customWidth="1"/>
    <col min="7" max="7" width="15.140625" style="15" customWidth="1"/>
    <col min="8" max="8" width="13" style="15" customWidth="1"/>
    <col min="9" max="9" width="12.5703125" style="15" bestFit="1" customWidth="1"/>
    <col min="10" max="10" width="12.7109375" style="15" customWidth="1"/>
    <col min="11" max="11" width="15" style="15" customWidth="1"/>
    <col min="12" max="12" width="15" style="15" bestFit="1" customWidth="1"/>
    <col min="13" max="14" width="16.140625" style="15" bestFit="1" customWidth="1"/>
    <col min="15" max="15" width="12.5703125" style="15" bestFit="1" customWidth="1"/>
    <col min="16" max="16" width="11.5703125" style="15" bestFit="1" customWidth="1"/>
    <col min="17" max="17" width="9.140625" style="15"/>
    <col min="18" max="18" width="12.7109375" style="15" bestFit="1" customWidth="1"/>
    <col min="19" max="19" width="14.5703125" style="15" bestFit="1" customWidth="1"/>
    <col min="20" max="20" width="16.140625" style="15" customWidth="1"/>
    <col min="21" max="23" width="9.140625" style="15"/>
    <col min="24" max="24" width="10.28515625" style="15" customWidth="1"/>
    <col min="25" max="25" width="13.85546875" style="15" customWidth="1"/>
    <col min="26" max="26" width="9.5703125" style="15" bestFit="1" customWidth="1"/>
    <col min="27" max="16384" width="9.140625" style="15"/>
  </cols>
  <sheetData>
    <row r="1" spans="1:26" ht="27" thickBot="1" x14ac:dyDescent="0.25">
      <c r="A1" s="259"/>
      <c r="B1" s="260"/>
      <c r="C1" s="265" t="s">
        <v>77</v>
      </c>
      <c r="D1" s="266"/>
      <c r="E1" s="266"/>
      <c r="F1" s="266"/>
      <c r="G1" s="266"/>
      <c r="H1" s="266"/>
      <c r="I1" s="266"/>
      <c r="J1" s="266"/>
      <c r="K1" s="266"/>
      <c r="L1" s="266"/>
      <c r="M1" s="266"/>
      <c r="N1" s="266"/>
      <c r="O1" s="266"/>
      <c r="P1" s="267"/>
    </row>
    <row r="2" spans="1:26" ht="16.5" customHeight="1" x14ac:dyDescent="0.2">
      <c r="A2" s="261"/>
      <c r="B2" s="262"/>
      <c r="C2" s="252" t="s">
        <v>7</v>
      </c>
      <c r="D2" s="268"/>
      <c r="E2" s="269" t="s">
        <v>116</v>
      </c>
      <c r="F2" s="270"/>
      <c r="G2" s="270"/>
      <c r="H2" s="270"/>
      <c r="I2" s="270"/>
      <c r="J2" s="270"/>
      <c r="K2" s="270"/>
      <c r="L2" s="270"/>
      <c r="M2" s="270"/>
      <c r="N2" s="270"/>
      <c r="O2" s="270"/>
      <c r="P2" s="271"/>
      <c r="S2"/>
      <c r="T2" s="183" t="s">
        <v>121</v>
      </c>
    </row>
    <row r="3" spans="1:26" ht="16.5" customHeight="1" x14ac:dyDescent="0.2">
      <c r="A3" s="261"/>
      <c r="B3" s="262"/>
      <c r="C3" s="224" t="s">
        <v>74</v>
      </c>
      <c r="D3" s="272"/>
      <c r="E3" s="273" t="s">
        <v>113</v>
      </c>
      <c r="F3" s="274"/>
      <c r="G3" s="274"/>
      <c r="H3" s="274"/>
      <c r="I3" s="274"/>
      <c r="J3" s="274"/>
      <c r="K3" s="274"/>
      <c r="L3" s="274"/>
      <c r="M3" s="274"/>
      <c r="N3" s="274"/>
      <c r="O3" s="274"/>
      <c r="P3" s="275"/>
      <c r="S3"/>
    </row>
    <row r="4" spans="1:26" ht="16.5" customHeight="1" x14ac:dyDescent="0.2">
      <c r="A4" s="261"/>
      <c r="B4" s="262"/>
      <c r="C4" s="224" t="s">
        <v>8</v>
      </c>
      <c r="D4" s="272"/>
      <c r="E4" s="273" t="s">
        <v>83</v>
      </c>
      <c r="F4" s="274"/>
      <c r="G4" s="274"/>
      <c r="H4" s="274"/>
      <c r="I4" s="274"/>
      <c r="J4" s="274"/>
      <c r="K4" s="274"/>
      <c r="L4" s="274"/>
      <c r="M4" s="274"/>
      <c r="N4" s="274"/>
      <c r="O4" s="274"/>
      <c r="P4" s="275"/>
    </row>
    <row r="5" spans="1:26" ht="16.5" thickBot="1" x14ac:dyDescent="0.25">
      <c r="A5" s="263"/>
      <c r="B5" s="264"/>
      <c r="C5" s="229" t="s">
        <v>19</v>
      </c>
      <c r="D5" s="276"/>
      <c r="E5" s="277" t="s">
        <v>118</v>
      </c>
      <c r="F5" s="278"/>
      <c r="G5" s="278"/>
      <c r="H5" s="278"/>
      <c r="I5" s="278"/>
      <c r="J5" s="278"/>
      <c r="K5" s="278"/>
      <c r="L5" s="279"/>
      <c r="M5" s="49" t="s">
        <v>5</v>
      </c>
      <c r="N5" s="51">
        <v>1</v>
      </c>
      <c r="O5" s="51" t="s">
        <v>6</v>
      </c>
      <c r="P5" s="52">
        <v>1</v>
      </c>
    </row>
    <row r="6" spans="1:26" customFormat="1" ht="15.75" x14ac:dyDescent="0.2">
      <c r="A6" s="37" t="s">
        <v>73</v>
      </c>
      <c r="B6" s="29"/>
      <c r="C6" s="29"/>
      <c r="D6" s="32"/>
      <c r="E6" s="32"/>
      <c r="F6" s="33"/>
      <c r="G6" s="33"/>
      <c r="H6" s="36" t="s">
        <v>72</v>
      </c>
      <c r="I6" s="33"/>
      <c r="J6" s="15"/>
      <c r="K6" s="33"/>
      <c r="L6" s="33"/>
      <c r="M6" s="33"/>
      <c r="N6" s="33"/>
      <c r="O6" s="33"/>
      <c r="P6" s="33"/>
      <c r="Q6" s="33"/>
      <c r="R6" s="33"/>
      <c r="S6" s="33"/>
    </row>
    <row r="7" spans="1:26" ht="15.75" thickBot="1" x14ac:dyDescent="0.25"/>
    <row r="8" spans="1:26" ht="18.75" customHeight="1" thickBot="1" x14ac:dyDescent="0.3">
      <c r="A8" s="295" t="s">
        <v>48</v>
      </c>
      <c r="B8" s="296"/>
      <c r="C8" s="296"/>
      <c r="D8" s="296"/>
      <c r="E8" s="296"/>
      <c r="F8" s="296"/>
      <c r="G8" s="296"/>
      <c r="H8" s="296"/>
      <c r="I8" s="296"/>
      <c r="J8" s="296"/>
      <c r="K8" s="296"/>
      <c r="L8" s="297" t="s">
        <v>49</v>
      </c>
      <c r="M8" s="298"/>
      <c r="N8" s="298"/>
      <c r="O8" s="298"/>
      <c r="P8" s="299"/>
    </row>
    <row r="9" spans="1:26" ht="18.75" customHeight="1" thickBot="1" x14ac:dyDescent="0.3">
      <c r="A9" s="295" t="s">
        <v>50</v>
      </c>
      <c r="B9" s="296"/>
      <c r="C9" s="296"/>
      <c r="D9" s="296"/>
      <c r="E9" s="296"/>
      <c r="F9" s="303"/>
      <c r="G9" s="304" t="s">
        <v>51</v>
      </c>
      <c r="H9" s="304"/>
      <c r="I9" s="304"/>
      <c r="J9" s="304"/>
      <c r="K9" s="305"/>
      <c r="L9" s="300"/>
      <c r="M9" s="301"/>
      <c r="N9" s="301"/>
      <c r="O9" s="301"/>
      <c r="P9" s="302"/>
    </row>
    <row r="10" spans="1:26" ht="35.25" customHeight="1" thickBot="1" x14ac:dyDescent="0.25">
      <c r="A10" s="306" t="s">
        <v>52</v>
      </c>
      <c r="B10" s="308" t="s">
        <v>53</v>
      </c>
      <c r="C10" s="310" t="s">
        <v>54</v>
      </c>
      <c r="D10" s="310" t="s">
        <v>55</v>
      </c>
      <c r="E10" s="310" t="s">
        <v>56</v>
      </c>
      <c r="F10" s="312" t="s">
        <v>57</v>
      </c>
      <c r="G10" s="16" t="s">
        <v>58</v>
      </c>
      <c r="H10" s="17" t="s">
        <v>59</v>
      </c>
      <c r="I10" s="17" t="s">
        <v>60</v>
      </c>
      <c r="J10" s="17" t="s">
        <v>61</v>
      </c>
      <c r="K10" s="18" t="s">
        <v>62</v>
      </c>
      <c r="L10" s="19" t="s">
        <v>63</v>
      </c>
      <c r="M10" s="20" t="s">
        <v>64</v>
      </c>
      <c r="N10" s="20" t="s">
        <v>65</v>
      </c>
      <c r="O10" s="20" t="s">
        <v>85</v>
      </c>
      <c r="P10" s="21" t="s">
        <v>66</v>
      </c>
    </row>
    <row r="11" spans="1:26" ht="18" customHeight="1" thickBot="1" x14ac:dyDescent="0.25">
      <c r="A11" s="307"/>
      <c r="B11" s="309"/>
      <c r="C11" s="311"/>
      <c r="D11" s="311"/>
      <c r="E11" s="311"/>
      <c r="F11" s="313"/>
      <c r="G11" s="53" t="s">
        <v>67</v>
      </c>
      <c r="H11" s="54" t="s">
        <v>67</v>
      </c>
      <c r="I11" s="54" t="s">
        <v>67</v>
      </c>
      <c r="J11" s="54" t="s">
        <v>67</v>
      </c>
      <c r="K11" s="55" t="s">
        <v>67</v>
      </c>
      <c r="L11" s="53" t="s">
        <v>67</v>
      </c>
      <c r="M11" s="54" t="s">
        <v>67</v>
      </c>
      <c r="N11" s="54" t="s">
        <v>67</v>
      </c>
      <c r="O11" s="54" t="s">
        <v>67</v>
      </c>
      <c r="P11" s="56" t="s">
        <v>67</v>
      </c>
      <c r="Q11" s="280" t="s">
        <v>88</v>
      </c>
      <c r="R11" s="281"/>
      <c r="S11" s="281"/>
      <c r="T11" s="281"/>
      <c r="U11" s="281"/>
      <c r="V11" s="281"/>
      <c r="W11" s="281"/>
      <c r="X11" s="282"/>
    </row>
    <row r="12" spans="1:26" ht="30.6" customHeight="1" x14ac:dyDescent="0.2">
      <c r="A12" s="64" t="s">
        <v>91</v>
      </c>
      <c r="B12" s="65">
        <v>31797.200000000001</v>
      </c>
      <c r="C12" s="65">
        <v>31797.200000000001</v>
      </c>
      <c r="D12" s="65">
        <v>32632.84</v>
      </c>
      <c r="E12" s="65">
        <v>31788.48</v>
      </c>
      <c r="F12" s="90">
        <v>31788</v>
      </c>
      <c r="G12" s="124">
        <v>5901.73</v>
      </c>
      <c r="H12" s="125">
        <v>5901.74</v>
      </c>
      <c r="I12" s="66">
        <v>5901.78</v>
      </c>
      <c r="J12" s="66">
        <v>5901.78</v>
      </c>
      <c r="K12" s="196">
        <v>5901.78</v>
      </c>
      <c r="L12" s="93">
        <f t="shared" ref="L12:L16" si="0">H12-G12</f>
        <v>1.0000000000218279E-2</v>
      </c>
      <c r="M12" s="95">
        <f>I12-G12</f>
        <v>5.0000000000181899E-2</v>
      </c>
      <c r="N12" s="95">
        <f>K12-I12</f>
        <v>0</v>
      </c>
      <c r="O12" s="95">
        <f>K12-J12</f>
        <v>0</v>
      </c>
      <c r="P12" s="97">
        <f>K12-G12</f>
        <v>5.0000000000181899E-2</v>
      </c>
      <c r="Q12" s="283" t="s">
        <v>127</v>
      </c>
      <c r="R12" s="284"/>
      <c r="S12" s="284"/>
      <c r="T12" s="284"/>
      <c r="U12" s="284"/>
      <c r="V12" s="284"/>
      <c r="W12" s="284"/>
      <c r="X12" s="285"/>
      <c r="Y12" s="15" t="s">
        <v>119</v>
      </c>
      <c r="Z12" s="15" t="s">
        <v>120</v>
      </c>
    </row>
    <row r="13" spans="1:26" s="162" customFormat="1" x14ac:dyDescent="0.2">
      <c r="A13" s="152" t="s">
        <v>92</v>
      </c>
      <c r="B13" s="153">
        <v>30417.200000000001</v>
      </c>
      <c r="C13" s="153">
        <v>30417.200000000001</v>
      </c>
      <c r="D13" s="194">
        <v>31252.84</v>
      </c>
      <c r="E13" s="153">
        <v>30408.48</v>
      </c>
      <c r="F13" s="154">
        <v>30408.480000000014</v>
      </c>
      <c r="G13" s="155">
        <v>5890.6</v>
      </c>
      <c r="H13" s="156">
        <v>5890.7</v>
      </c>
      <c r="I13" s="68">
        <v>5890.7</v>
      </c>
      <c r="J13" s="68">
        <v>5890.31</v>
      </c>
      <c r="K13" s="69">
        <v>5889.38</v>
      </c>
      <c r="L13" s="158">
        <f>H13-G13</f>
        <v>9.9999999999454303E-2</v>
      </c>
      <c r="M13" s="159">
        <f>I13-G13</f>
        <v>9.9999999999454303E-2</v>
      </c>
      <c r="N13" s="160">
        <f>K13-I13</f>
        <v>-1.319999999999709</v>
      </c>
      <c r="O13" s="160">
        <f t="shared" ref="O13:O66" si="1">K13-J13</f>
        <v>-0.93000000000029104</v>
      </c>
      <c r="P13" s="161">
        <f t="shared" ref="P13:P66" si="2">K13-G13</f>
        <v>-1.2200000000002547</v>
      </c>
      <c r="Q13" s="286"/>
      <c r="R13" s="287"/>
      <c r="S13" s="287"/>
      <c r="T13" s="287"/>
      <c r="U13" s="287"/>
      <c r="V13" s="287"/>
      <c r="W13" s="287"/>
      <c r="X13" s="288"/>
      <c r="Y13" s="170">
        <v>5888.9</v>
      </c>
      <c r="Z13" s="170">
        <v>5887.74</v>
      </c>
    </row>
    <row r="14" spans="1:26" x14ac:dyDescent="0.2">
      <c r="A14" s="74" t="s">
        <v>93</v>
      </c>
      <c r="B14" s="44">
        <v>30317.200000000001</v>
      </c>
      <c r="C14" s="44">
        <v>30317.200000000001</v>
      </c>
      <c r="D14" s="44">
        <v>31144.639999999999</v>
      </c>
      <c r="E14" s="44">
        <v>30300.28</v>
      </c>
      <c r="F14" s="109">
        <v>30300.280000000013</v>
      </c>
      <c r="G14" s="126">
        <v>5890.5899999999992</v>
      </c>
      <c r="H14" s="127">
        <v>5890.66</v>
      </c>
      <c r="I14" s="68">
        <v>5890.64</v>
      </c>
      <c r="J14" s="68">
        <v>5890.11</v>
      </c>
      <c r="K14" s="69">
        <v>5889.08</v>
      </c>
      <c r="L14" s="70">
        <f t="shared" si="0"/>
        <v>7.0000000000618456E-2</v>
      </c>
      <c r="M14" s="71">
        <f>I14-G14</f>
        <v>5.0000000001091394E-2</v>
      </c>
      <c r="N14" s="72">
        <f>K14-I14</f>
        <v>-1.5600000000004002</v>
      </c>
      <c r="O14" s="72">
        <f t="shared" si="1"/>
        <v>-1.0299999999997453</v>
      </c>
      <c r="P14" s="73">
        <f t="shared" si="2"/>
        <v>-1.5099999999993088</v>
      </c>
      <c r="Q14" s="289"/>
      <c r="R14" s="290"/>
      <c r="S14" s="290"/>
      <c r="T14" s="290"/>
      <c r="U14" s="290"/>
      <c r="V14" s="290"/>
      <c r="W14" s="290"/>
      <c r="X14" s="291"/>
      <c r="Y14" s="171"/>
      <c r="Z14" s="171"/>
    </row>
    <row r="15" spans="1:26" x14ac:dyDescent="0.2">
      <c r="A15" s="74">
        <v>364.3</v>
      </c>
      <c r="B15" s="44">
        <v>30316.2</v>
      </c>
      <c r="C15" s="44">
        <v>30316.2</v>
      </c>
      <c r="D15" s="205" t="s">
        <v>86</v>
      </c>
      <c r="E15" s="44" t="s">
        <v>86</v>
      </c>
      <c r="F15" s="212" t="s">
        <v>86</v>
      </c>
      <c r="G15" s="126">
        <v>5890.54</v>
      </c>
      <c r="H15" s="127">
        <v>5890.6399999999994</v>
      </c>
      <c r="I15" s="68">
        <v>5890.63</v>
      </c>
      <c r="J15" s="68" t="s">
        <v>86</v>
      </c>
      <c r="K15" s="69" t="s">
        <v>86</v>
      </c>
      <c r="L15" s="70">
        <f t="shared" si="0"/>
        <v>9.9999999999454303E-2</v>
      </c>
      <c r="M15" s="71">
        <f t="shared" ref="M15:M16" si="3">I15-G15</f>
        <v>9.0000000000145519E-2</v>
      </c>
      <c r="N15" s="72" t="s">
        <v>86</v>
      </c>
      <c r="O15" s="72" t="s">
        <v>86</v>
      </c>
      <c r="P15" s="73" t="s">
        <v>86</v>
      </c>
      <c r="Q15" s="292"/>
      <c r="R15" s="293"/>
      <c r="S15" s="293"/>
      <c r="T15" s="293"/>
      <c r="U15" s="293"/>
      <c r="V15" s="293"/>
      <c r="W15" s="293"/>
      <c r="X15" s="294"/>
      <c r="Y15" s="171"/>
      <c r="Z15" s="171"/>
    </row>
    <row r="16" spans="1:26" x14ac:dyDescent="0.2">
      <c r="A16" s="74">
        <v>364.2</v>
      </c>
      <c r="B16" s="44">
        <v>30276.2</v>
      </c>
      <c r="C16" s="44">
        <v>30276.2</v>
      </c>
      <c r="D16" s="205" t="s">
        <v>86</v>
      </c>
      <c r="E16" s="44" t="s">
        <v>86</v>
      </c>
      <c r="F16" s="212" t="s">
        <v>86</v>
      </c>
      <c r="G16" s="126">
        <v>5890.12</v>
      </c>
      <c r="H16" s="127">
        <v>5890.0599999999995</v>
      </c>
      <c r="I16" s="68">
        <v>5890.15</v>
      </c>
      <c r="J16" s="68" t="s">
        <v>86</v>
      </c>
      <c r="K16" s="69" t="s">
        <v>86</v>
      </c>
      <c r="L16" s="75">
        <f t="shared" si="0"/>
        <v>-6.0000000000400178E-2</v>
      </c>
      <c r="M16" s="71">
        <f t="shared" si="3"/>
        <v>2.9999999999745341E-2</v>
      </c>
      <c r="N16" s="72" t="s">
        <v>86</v>
      </c>
      <c r="O16" s="72" t="s">
        <v>86</v>
      </c>
      <c r="P16" s="73" t="s">
        <v>86</v>
      </c>
      <c r="Q16" s="292"/>
      <c r="R16" s="293"/>
      <c r="S16" s="293"/>
      <c r="T16" s="293"/>
      <c r="U16" s="293"/>
      <c r="V16" s="293"/>
      <c r="W16" s="293"/>
      <c r="X16" s="294"/>
      <c r="Y16" s="171"/>
      <c r="Z16" s="171"/>
    </row>
    <row r="17" spans="1:26" s="162" customFormat="1" x14ac:dyDescent="0.2">
      <c r="A17" s="163" t="s">
        <v>94</v>
      </c>
      <c r="B17" s="164">
        <v>30275.200000000001</v>
      </c>
      <c r="C17" s="153">
        <v>30275.200000000001</v>
      </c>
      <c r="D17" s="193">
        <v>31066.84</v>
      </c>
      <c r="E17" s="153" t="s">
        <v>86</v>
      </c>
      <c r="F17" s="213" t="s">
        <v>86</v>
      </c>
      <c r="G17" s="155">
        <v>5888.0599999999995</v>
      </c>
      <c r="H17" s="166">
        <v>5887.5499999999993</v>
      </c>
      <c r="I17" s="68">
        <v>5887.65</v>
      </c>
      <c r="J17" s="68">
        <v>5886.8</v>
      </c>
      <c r="K17" s="157" t="s">
        <v>86</v>
      </c>
      <c r="L17" s="167">
        <f>H17-G17</f>
        <v>-0.51000000000021828</v>
      </c>
      <c r="M17" s="160">
        <f>I17-G17</f>
        <v>-0.40999999999985448</v>
      </c>
      <c r="N17" s="160" t="s">
        <v>86</v>
      </c>
      <c r="O17" s="72" t="s">
        <v>86</v>
      </c>
      <c r="P17" s="73" t="s">
        <v>86</v>
      </c>
      <c r="Q17" s="286"/>
      <c r="R17" s="287"/>
      <c r="S17" s="287"/>
      <c r="T17" s="287"/>
      <c r="U17" s="287"/>
      <c r="V17" s="287"/>
      <c r="W17" s="287"/>
      <c r="X17" s="288"/>
      <c r="Y17" s="170">
        <v>5888.5</v>
      </c>
      <c r="Z17" s="170">
        <v>5884.19</v>
      </c>
    </row>
    <row r="18" spans="1:26" x14ac:dyDescent="0.2">
      <c r="A18" s="74" t="s">
        <v>109</v>
      </c>
      <c r="B18" s="207" t="s">
        <v>86</v>
      </c>
      <c r="C18" s="44" t="s">
        <v>86</v>
      </c>
      <c r="D18" s="44" t="s">
        <v>86</v>
      </c>
      <c r="E18" s="44">
        <v>30199.68</v>
      </c>
      <c r="F18" s="109">
        <v>30199.680000000015</v>
      </c>
      <c r="G18" s="126" t="s">
        <v>86</v>
      </c>
      <c r="H18" s="128" t="s">
        <v>86</v>
      </c>
      <c r="I18" s="68" t="s">
        <v>86</v>
      </c>
      <c r="J18" s="68" t="s">
        <v>86</v>
      </c>
      <c r="K18" s="69">
        <v>5884.86</v>
      </c>
      <c r="L18" s="75" t="s">
        <v>86</v>
      </c>
      <c r="M18" s="72" t="s">
        <v>86</v>
      </c>
      <c r="N18" s="72" t="s">
        <v>86</v>
      </c>
      <c r="O18" s="72" t="s">
        <v>86</v>
      </c>
      <c r="P18" s="73" t="s">
        <v>86</v>
      </c>
      <c r="Q18" s="292"/>
      <c r="R18" s="293"/>
      <c r="S18" s="293"/>
      <c r="T18" s="293"/>
      <c r="U18" s="293"/>
      <c r="V18" s="293"/>
      <c r="W18" s="293"/>
      <c r="X18" s="294"/>
      <c r="Y18" s="171"/>
      <c r="Z18" s="171"/>
    </row>
    <row r="19" spans="1:26" x14ac:dyDescent="0.2">
      <c r="A19" s="74" t="s">
        <v>108</v>
      </c>
      <c r="B19" s="207" t="s">
        <v>86</v>
      </c>
      <c r="C19" s="44" t="s">
        <v>86</v>
      </c>
      <c r="D19" s="44" t="s">
        <v>86</v>
      </c>
      <c r="E19" s="44">
        <v>30161.48</v>
      </c>
      <c r="F19" s="109">
        <v>30161.480000000014</v>
      </c>
      <c r="G19" s="126" t="s">
        <v>86</v>
      </c>
      <c r="H19" s="128" t="s">
        <v>86</v>
      </c>
      <c r="I19" s="68" t="s">
        <v>86</v>
      </c>
      <c r="J19" s="68" t="s">
        <v>86</v>
      </c>
      <c r="K19" s="69">
        <v>5881.1</v>
      </c>
      <c r="L19" s="75" t="s">
        <v>86</v>
      </c>
      <c r="M19" s="72" t="s">
        <v>86</v>
      </c>
      <c r="N19" s="72" t="s">
        <v>86</v>
      </c>
      <c r="O19" s="72" t="s">
        <v>86</v>
      </c>
      <c r="P19" s="73" t="s">
        <v>86</v>
      </c>
      <c r="Q19" s="292"/>
      <c r="R19" s="293"/>
      <c r="S19" s="293"/>
      <c r="T19" s="293"/>
      <c r="U19" s="293"/>
      <c r="V19" s="293"/>
      <c r="W19" s="293"/>
      <c r="X19" s="294"/>
      <c r="Y19" s="171"/>
      <c r="Z19" s="171"/>
    </row>
    <row r="20" spans="1:26" x14ac:dyDescent="0.2">
      <c r="A20" s="63" t="s">
        <v>95</v>
      </c>
      <c r="B20" s="207">
        <v>30055.200000000001</v>
      </c>
      <c r="C20" s="79">
        <v>30055.200000000001</v>
      </c>
      <c r="D20" s="79">
        <v>30954.34</v>
      </c>
      <c r="E20" s="44" t="s">
        <v>86</v>
      </c>
      <c r="F20" s="212" t="s">
        <v>86</v>
      </c>
      <c r="G20" s="129">
        <v>5886.15</v>
      </c>
      <c r="H20" s="179">
        <v>5886.15</v>
      </c>
      <c r="I20" s="72">
        <v>5886.26</v>
      </c>
      <c r="J20" s="72">
        <v>5886.23</v>
      </c>
      <c r="K20" s="73" t="s">
        <v>86</v>
      </c>
      <c r="L20" s="75">
        <f>H20-G20</f>
        <v>0</v>
      </c>
      <c r="M20" s="71">
        <f>I20-G20</f>
        <v>0.11000000000058208</v>
      </c>
      <c r="N20" s="72" t="s">
        <v>86</v>
      </c>
      <c r="O20" s="72" t="s">
        <v>86</v>
      </c>
      <c r="P20" s="73" t="s">
        <v>86</v>
      </c>
      <c r="Q20" s="317"/>
      <c r="R20" s="318"/>
      <c r="S20" s="318"/>
      <c r="T20" s="318"/>
      <c r="U20" s="318"/>
      <c r="V20" s="318"/>
      <c r="W20" s="318"/>
      <c r="X20" s="319"/>
      <c r="Y20" s="171"/>
      <c r="Z20" s="171"/>
    </row>
    <row r="21" spans="1:26" x14ac:dyDescent="0.2">
      <c r="A21" s="173" t="s">
        <v>86</v>
      </c>
      <c r="B21" s="76" t="s">
        <v>86</v>
      </c>
      <c r="C21" s="76" t="s">
        <v>86</v>
      </c>
      <c r="D21" s="76">
        <v>30809.34</v>
      </c>
      <c r="E21" s="43" t="s">
        <v>86</v>
      </c>
      <c r="F21" s="212" t="s">
        <v>86</v>
      </c>
      <c r="G21" s="130" t="s">
        <v>86</v>
      </c>
      <c r="H21" s="128" t="s">
        <v>86</v>
      </c>
      <c r="I21" s="72" t="s">
        <v>86</v>
      </c>
      <c r="J21" s="68">
        <v>5884.29</v>
      </c>
      <c r="K21" s="208" t="s">
        <v>86</v>
      </c>
      <c r="L21" s="98" t="s">
        <v>86</v>
      </c>
      <c r="M21" s="72" t="s">
        <v>86</v>
      </c>
      <c r="N21" s="68" t="s">
        <v>86</v>
      </c>
      <c r="O21" s="72" t="s">
        <v>86</v>
      </c>
      <c r="P21" s="73" t="s">
        <v>86</v>
      </c>
      <c r="Q21" s="289"/>
      <c r="R21" s="290"/>
      <c r="S21" s="290"/>
      <c r="T21" s="290"/>
      <c r="U21" s="290"/>
      <c r="V21" s="290"/>
      <c r="W21" s="290"/>
      <c r="X21" s="291"/>
      <c r="Y21" s="171"/>
      <c r="Z21" s="171"/>
    </row>
    <row r="22" spans="1:26" x14ac:dyDescent="0.2">
      <c r="A22" s="173" t="s">
        <v>86</v>
      </c>
      <c r="B22" s="77" t="s">
        <v>86</v>
      </c>
      <c r="C22" s="77" t="s">
        <v>86</v>
      </c>
      <c r="D22" s="77">
        <v>30653.74</v>
      </c>
      <c r="E22" s="44">
        <v>30034.58</v>
      </c>
      <c r="F22" s="109">
        <v>30034.580000000013</v>
      </c>
      <c r="G22" s="130" t="s">
        <v>86</v>
      </c>
      <c r="H22" s="128" t="s">
        <v>86</v>
      </c>
      <c r="I22" s="72" t="s">
        <v>86</v>
      </c>
      <c r="J22" s="68">
        <v>5882.56</v>
      </c>
      <c r="K22" s="209">
        <v>5880.3</v>
      </c>
      <c r="L22" s="98" t="s">
        <v>86</v>
      </c>
      <c r="M22" s="72" t="s">
        <v>86</v>
      </c>
      <c r="N22" s="72" t="s">
        <v>86</v>
      </c>
      <c r="O22" s="72">
        <f t="shared" si="1"/>
        <v>-2.2600000000002183</v>
      </c>
      <c r="P22" s="73" t="s">
        <v>86</v>
      </c>
      <c r="Q22" s="317"/>
      <c r="R22" s="318"/>
      <c r="S22" s="318"/>
      <c r="T22" s="318"/>
      <c r="U22" s="318"/>
      <c r="V22" s="318"/>
      <c r="W22" s="318"/>
      <c r="X22" s="319"/>
      <c r="Y22" s="171"/>
      <c r="Z22" s="171"/>
    </row>
    <row r="23" spans="1:26" x14ac:dyDescent="0.2">
      <c r="A23" s="173" t="s">
        <v>86</v>
      </c>
      <c r="B23" s="77" t="s">
        <v>86</v>
      </c>
      <c r="C23" s="76" t="s">
        <v>86</v>
      </c>
      <c r="D23" s="77">
        <v>30502.74</v>
      </c>
      <c r="E23" s="44">
        <v>29880.68</v>
      </c>
      <c r="F23" s="109">
        <v>29880.680000000011</v>
      </c>
      <c r="G23" s="130" t="s">
        <v>86</v>
      </c>
      <c r="H23" s="128" t="s">
        <v>86</v>
      </c>
      <c r="I23" s="72" t="s">
        <v>86</v>
      </c>
      <c r="J23" s="68">
        <v>5881.76</v>
      </c>
      <c r="K23" s="209">
        <v>5879.89</v>
      </c>
      <c r="L23" s="98" t="s">
        <v>86</v>
      </c>
      <c r="M23" s="72" t="s">
        <v>86</v>
      </c>
      <c r="N23" s="72" t="s">
        <v>86</v>
      </c>
      <c r="O23" s="72">
        <f t="shared" si="1"/>
        <v>-1.8699999999998909</v>
      </c>
      <c r="P23" s="73" t="s">
        <v>86</v>
      </c>
      <c r="Q23" s="314"/>
      <c r="R23" s="315"/>
      <c r="S23" s="315"/>
      <c r="T23" s="315"/>
      <c r="U23" s="315"/>
      <c r="V23" s="315"/>
      <c r="W23" s="315"/>
      <c r="X23" s="316"/>
      <c r="Y23" s="171"/>
      <c r="Z23" s="171"/>
    </row>
    <row r="24" spans="1:26" x14ac:dyDescent="0.2">
      <c r="A24" s="173" t="s">
        <v>86</v>
      </c>
      <c r="B24" s="79" t="s">
        <v>86</v>
      </c>
      <c r="C24" s="77" t="s">
        <v>86</v>
      </c>
      <c r="D24" s="77">
        <v>30337.84</v>
      </c>
      <c r="E24" s="44">
        <v>29695.38</v>
      </c>
      <c r="F24" s="109">
        <v>29695.380000000012</v>
      </c>
      <c r="G24" s="130" t="s">
        <v>86</v>
      </c>
      <c r="H24" s="128" t="s">
        <v>86</v>
      </c>
      <c r="I24" s="72" t="s">
        <v>86</v>
      </c>
      <c r="J24" s="68">
        <v>5880.41</v>
      </c>
      <c r="K24" s="209">
        <v>5878.52</v>
      </c>
      <c r="L24" s="98" t="s">
        <v>86</v>
      </c>
      <c r="M24" s="72" t="s">
        <v>86</v>
      </c>
      <c r="N24" s="72" t="s">
        <v>86</v>
      </c>
      <c r="O24" s="72">
        <f t="shared" si="1"/>
        <v>-1.8899999999994179</v>
      </c>
      <c r="P24" s="73" t="s">
        <v>86</v>
      </c>
      <c r="Q24" s="289"/>
      <c r="R24" s="290"/>
      <c r="S24" s="290"/>
      <c r="T24" s="290"/>
      <c r="U24" s="290"/>
      <c r="V24" s="290"/>
      <c r="W24" s="290"/>
      <c r="X24" s="291"/>
      <c r="Y24" s="171"/>
      <c r="Z24" s="171"/>
    </row>
    <row r="25" spans="1:26" x14ac:dyDescent="0.2">
      <c r="A25" s="173" t="s">
        <v>86</v>
      </c>
      <c r="B25" s="77" t="s">
        <v>86</v>
      </c>
      <c r="C25" s="76" t="s">
        <v>86</v>
      </c>
      <c r="D25" s="77">
        <v>30284.14</v>
      </c>
      <c r="E25" s="80">
        <v>29653.279999999999</v>
      </c>
      <c r="F25" s="109">
        <v>29653.280000000013</v>
      </c>
      <c r="G25" s="130" t="s">
        <v>86</v>
      </c>
      <c r="H25" s="128" t="s">
        <v>86</v>
      </c>
      <c r="I25" s="72" t="s">
        <v>86</v>
      </c>
      <c r="J25" s="68">
        <v>5879.28</v>
      </c>
      <c r="K25" s="209">
        <v>5876.17</v>
      </c>
      <c r="L25" s="98" t="s">
        <v>86</v>
      </c>
      <c r="M25" s="72" t="s">
        <v>86</v>
      </c>
      <c r="N25" s="72" t="s">
        <v>86</v>
      </c>
      <c r="O25" s="72">
        <f t="shared" si="1"/>
        <v>-3.1099999999996726</v>
      </c>
      <c r="P25" s="73" t="s">
        <v>86</v>
      </c>
      <c r="Q25" s="289"/>
      <c r="R25" s="290"/>
      <c r="S25" s="290"/>
      <c r="T25" s="290"/>
      <c r="U25" s="290"/>
      <c r="V25" s="290"/>
      <c r="W25" s="290"/>
      <c r="X25" s="291"/>
      <c r="Y25" s="171"/>
      <c r="Z25" s="171"/>
    </row>
    <row r="26" spans="1:26" x14ac:dyDescent="0.2">
      <c r="A26" s="173" t="s">
        <v>86</v>
      </c>
      <c r="B26" s="79" t="s">
        <v>86</v>
      </c>
      <c r="C26" s="77" t="s">
        <v>86</v>
      </c>
      <c r="D26" s="77">
        <v>30130.639999999999</v>
      </c>
      <c r="E26" s="80">
        <v>29534.58</v>
      </c>
      <c r="F26" s="109">
        <v>29534.580000000013</v>
      </c>
      <c r="G26" s="130" t="s">
        <v>86</v>
      </c>
      <c r="H26" s="128" t="s">
        <v>86</v>
      </c>
      <c r="I26" s="72" t="s">
        <v>86</v>
      </c>
      <c r="J26" s="68">
        <v>5878.13</v>
      </c>
      <c r="K26" s="209">
        <v>5875.52</v>
      </c>
      <c r="L26" s="98" t="s">
        <v>86</v>
      </c>
      <c r="M26" s="72" t="s">
        <v>86</v>
      </c>
      <c r="N26" s="72" t="s">
        <v>86</v>
      </c>
      <c r="O26" s="72">
        <f t="shared" si="1"/>
        <v>-2.6099999999996726</v>
      </c>
      <c r="P26" s="73" t="s">
        <v>86</v>
      </c>
      <c r="Q26" s="289"/>
      <c r="R26" s="290"/>
      <c r="S26" s="290"/>
      <c r="T26" s="290"/>
      <c r="U26" s="290"/>
      <c r="V26" s="290"/>
      <c r="W26" s="290"/>
      <c r="X26" s="291"/>
      <c r="Y26" s="171"/>
      <c r="Z26" s="171"/>
    </row>
    <row r="27" spans="1:26" x14ac:dyDescent="0.2">
      <c r="A27" s="173" t="s">
        <v>86</v>
      </c>
      <c r="B27" s="77" t="s">
        <v>86</v>
      </c>
      <c r="C27" s="76" t="s">
        <v>86</v>
      </c>
      <c r="D27" s="77">
        <v>29954.639999999999</v>
      </c>
      <c r="E27" s="44">
        <v>29415.58</v>
      </c>
      <c r="F27" s="109">
        <v>29415.580000000013</v>
      </c>
      <c r="G27" s="130" t="s">
        <v>86</v>
      </c>
      <c r="H27" s="128" t="s">
        <v>86</v>
      </c>
      <c r="I27" s="72" t="s">
        <v>86</v>
      </c>
      <c r="J27" s="68">
        <v>5876.47</v>
      </c>
      <c r="K27" s="209">
        <v>5874.38</v>
      </c>
      <c r="L27" s="98" t="s">
        <v>86</v>
      </c>
      <c r="M27" s="72" t="s">
        <v>86</v>
      </c>
      <c r="N27" s="72" t="s">
        <v>86</v>
      </c>
      <c r="O27" s="72">
        <f t="shared" si="1"/>
        <v>-2.0900000000001455</v>
      </c>
      <c r="P27" s="73" t="s">
        <v>86</v>
      </c>
      <c r="Q27" s="289"/>
      <c r="R27" s="290"/>
      <c r="S27" s="290"/>
      <c r="T27" s="290"/>
      <c r="U27" s="290"/>
      <c r="V27" s="290"/>
      <c r="W27" s="290"/>
      <c r="X27" s="291"/>
      <c r="Y27" s="171"/>
      <c r="Z27" s="171"/>
    </row>
    <row r="28" spans="1:26" x14ac:dyDescent="0.2">
      <c r="A28" s="173" t="s">
        <v>86</v>
      </c>
      <c r="B28" s="77" t="s">
        <v>86</v>
      </c>
      <c r="C28" s="77" t="s">
        <v>86</v>
      </c>
      <c r="D28" s="77" t="s">
        <v>86</v>
      </c>
      <c r="E28" s="44">
        <v>29372.28</v>
      </c>
      <c r="F28" s="109">
        <v>29372.280000000013</v>
      </c>
      <c r="G28" s="130" t="s">
        <v>86</v>
      </c>
      <c r="H28" s="128" t="s">
        <v>86</v>
      </c>
      <c r="I28" s="72" t="s">
        <v>86</v>
      </c>
      <c r="J28" s="68" t="s">
        <v>86</v>
      </c>
      <c r="K28" s="209">
        <v>5871.48</v>
      </c>
      <c r="L28" s="98" t="s">
        <v>86</v>
      </c>
      <c r="M28" s="72" t="s">
        <v>86</v>
      </c>
      <c r="N28" s="72" t="s">
        <v>86</v>
      </c>
      <c r="O28" s="72" t="s">
        <v>86</v>
      </c>
      <c r="P28" s="73" t="s">
        <v>86</v>
      </c>
      <c r="Q28" s="292"/>
      <c r="R28" s="293"/>
      <c r="S28" s="293"/>
      <c r="T28" s="293"/>
      <c r="U28" s="293"/>
      <c r="V28" s="293"/>
      <c r="W28" s="293"/>
      <c r="X28" s="294"/>
      <c r="Y28" s="171"/>
      <c r="Z28" s="171"/>
    </row>
    <row r="29" spans="1:26" x14ac:dyDescent="0.2">
      <c r="A29" s="173" t="s">
        <v>86</v>
      </c>
      <c r="B29" s="79" t="s">
        <v>86</v>
      </c>
      <c r="C29" s="76" t="s">
        <v>86</v>
      </c>
      <c r="D29" s="77">
        <v>29857.34</v>
      </c>
      <c r="E29" s="44" t="s">
        <v>86</v>
      </c>
      <c r="F29" s="212" t="s">
        <v>86</v>
      </c>
      <c r="G29" s="130" t="s">
        <v>86</v>
      </c>
      <c r="H29" s="128" t="s">
        <v>86</v>
      </c>
      <c r="I29" s="72" t="s">
        <v>86</v>
      </c>
      <c r="J29" s="68">
        <v>5875.9</v>
      </c>
      <c r="K29" s="209" t="s">
        <v>86</v>
      </c>
      <c r="L29" s="98" t="s">
        <v>86</v>
      </c>
      <c r="M29" s="72" t="s">
        <v>86</v>
      </c>
      <c r="N29" s="72" t="s">
        <v>86</v>
      </c>
      <c r="O29" s="72" t="s">
        <v>86</v>
      </c>
      <c r="P29" s="73" t="s">
        <v>86</v>
      </c>
      <c r="Q29" s="326"/>
      <c r="R29" s="327"/>
      <c r="S29" s="327"/>
      <c r="T29" s="327"/>
      <c r="U29" s="327"/>
      <c r="V29" s="327"/>
      <c r="W29" s="327"/>
      <c r="X29" s="328"/>
      <c r="Y29" s="171"/>
      <c r="Z29" s="171"/>
    </row>
    <row r="30" spans="1:26" x14ac:dyDescent="0.2">
      <c r="A30" s="173" t="s">
        <v>86</v>
      </c>
      <c r="B30" s="77" t="s">
        <v>86</v>
      </c>
      <c r="C30" s="77" t="s">
        <v>86</v>
      </c>
      <c r="D30" s="77">
        <v>29669.74</v>
      </c>
      <c r="E30" s="44">
        <v>29196.080000000002</v>
      </c>
      <c r="F30" s="109">
        <v>29196.080000000013</v>
      </c>
      <c r="G30" s="130" t="s">
        <v>86</v>
      </c>
      <c r="H30" s="128" t="s">
        <v>86</v>
      </c>
      <c r="I30" s="72" t="s">
        <v>86</v>
      </c>
      <c r="J30" s="68">
        <v>5874.67</v>
      </c>
      <c r="K30" s="209">
        <v>5870.34</v>
      </c>
      <c r="L30" s="98" t="s">
        <v>86</v>
      </c>
      <c r="M30" s="72" t="s">
        <v>86</v>
      </c>
      <c r="N30" s="72" t="s">
        <v>86</v>
      </c>
      <c r="O30" s="72">
        <f t="shared" si="1"/>
        <v>-4.3299999999999272</v>
      </c>
      <c r="P30" s="73" t="s">
        <v>86</v>
      </c>
      <c r="Q30" s="329"/>
      <c r="R30" s="330"/>
      <c r="S30" s="330"/>
      <c r="T30" s="330"/>
      <c r="U30" s="330"/>
      <c r="V30" s="330"/>
      <c r="W30" s="330"/>
      <c r="X30" s="331"/>
      <c r="Y30" s="171"/>
      <c r="Z30" s="171"/>
    </row>
    <row r="31" spans="1:26" x14ac:dyDescent="0.2">
      <c r="A31" s="173" t="s">
        <v>86</v>
      </c>
      <c r="B31" s="77" t="s">
        <v>86</v>
      </c>
      <c r="C31" s="76" t="s">
        <v>86</v>
      </c>
      <c r="D31" s="77">
        <v>29456.54</v>
      </c>
      <c r="E31" s="44">
        <v>28960.98</v>
      </c>
      <c r="F31" s="109">
        <v>28960.980000000014</v>
      </c>
      <c r="G31" s="131" t="s">
        <v>86</v>
      </c>
      <c r="H31" s="128" t="s">
        <v>86</v>
      </c>
      <c r="I31" s="72" t="s">
        <v>86</v>
      </c>
      <c r="J31" s="72">
        <v>5872.58</v>
      </c>
      <c r="K31" s="209">
        <v>5868.79</v>
      </c>
      <c r="L31" s="99" t="s">
        <v>86</v>
      </c>
      <c r="M31" s="72" t="s">
        <v>86</v>
      </c>
      <c r="N31" s="72" t="s">
        <v>86</v>
      </c>
      <c r="O31" s="72">
        <f t="shared" si="1"/>
        <v>-3.7899999999999636</v>
      </c>
      <c r="P31" s="73" t="s">
        <v>86</v>
      </c>
      <c r="Q31" s="289"/>
      <c r="R31" s="290"/>
      <c r="S31" s="290"/>
      <c r="T31" s="290"/>
      <c r="U31" s="290"/>
      <c r="V31" s="290"/>
      <c r="W31" s="290"/>
      <c r="X31" s="291"/>
      <c r="Y31" s="171"/>
      <c r="Z31" s="171"/>
    </row>
    <row r="32" spans="1:26" s="59" customFormat="1" ht="15" customHeight="1" x14ac:dyDescent="0.2">
      <c r="A32" s="173" t="s">
        <v>86</v>
      </c>
      <c r="B32" s="91" t="s">
        <v>86</v>
      </c>
      <c r="C32" s="77" t="s">
        <v>86</v>
      </c>
      <c r="D32" s="76">
        <v>29405.439999999999</v>
      </c>
      <c r="E32" s="43">
        <v>28922.28</v>
      </c>
      <c r="F32" s="109">
        <v>28922.280000000013</v>
      </c>
      <c r="G32" s="130" t="s">
        <v>86</v>
      </c>
      <c r="H32" s="128" t="s">
        <v>86</v>
      </c>
      <c r="I32" s="72" t="s">
        <v>86</v>
      </c>
      <c r="J32" s="82">
        <v>5872.04</v>
      </c>
      <c r="K32" s="69">
        <v>5866.49</v>
      </c>
      <c r="L32" s="98" t="s">
        <v>86</v>
      </c>
      <c r="M32" s="72" t="s">
        <v>86</v>
      </c>
      <c r="N32" s="68" t="s">
        <v>86</v>
      </c>
      <c r="O32" s="68">
        <f t="shared" si="1"/>
        <v>-5.5500000000001819</v>
      </c>
      <c r="P32" s="73" t="s">
        <v>86</v>
      </c>
      <c r="Q32" s="320"/>
      <c r="R32" s="321"/>
      <c r="S32" s="321"/>
      <c r="T32" s="321"/>
      <c r="U32" s="321"/>
      <c r="V32" s="321"/>
      <c r="W32" s="321"/>
      <c r="X32" s="322"/>
      <c r="Y32" s="172"/>
      <c r="Z32" s="172"/>
    </row>
    <row r="33" spans="1:26" s="59" customFormat="1" x14ac:dyDescent="0.2">
      <c r="A33" s="173" t="s">
        <v>86</v>
      </c>
      <c r="B33" s="83" t="s">
        <v>86</v>
      </c>
      <c r="C33" s="76" t="s">
        <v>86</v>
      </c>
      <c r="D33" s="77">
        <v>28981.74</v>
      </c>
      <c r="E33" s="44">
        <v>28648.38</v>
      </c>
      <c r="F33" s="109">
        <v>28648.380000000012</v>
      </c>
      <c r="G33" s="130" t="s">
        <v>86</v>
      </c>
      <c r="H33" s="128" t="s">
        <v>86</v>
      </c>
      <c r="I33" s="72" t="s">
        <v>86</v>
      </c>
      <c r="J33" s="82">
        <v>5869.1</v>
      </c>
      <c r="K33" s="69">
        <v>5865.34</v>
      </c>
      <c r="L33" s="98" t="s">
        <v>86</v>
      </c>
      <c r="M33" s="72" t="s">
        <v>86</v>
      </c>
      <c r="N33" s="72" t="s">
        <v>86</v>
      </c>
      <c r="O33" s="72">
        <f t="shared" si="1"/>
        <v>-3.7600000000002183</v>
      </c>
      <c r="P33" s="73" t="s">
        <v>86</v>
      </c>
      <c r="Q33" s="317"/>
      <c r="R33" s="318"/>
      <c r="S33" s="318"/>
      <c r="T33" s="318"/>
      <c r="U33" s="318"/>
      <c r="V33" s="318"/>
      <c r="W33" s="318"/>
      <c r="X33" s="319"/>
      <c r="Y33" s="172"/>
      <c r="Z33" s="172"/>
    </row>
    <row r="34" spans="1:26" s="162" customFormat="1" x14ac:dyDescent="0.2">
      <c r="A34" s="163" t="s">
        <v>96</v>
      </c>
      <c r="B34" s="168">
        <v>28115.200000000001</v>
      </c>
      <c r="C34" s="168">
        <v>28115.200000000001</v>
      </c>
      <c r="D34" s="168">
        <v>28779.14</v>
      </c>
      <c r="E34" s="169">
        <v>28432.880000000001</v>
      </c>
      <c r="F34" s="154">
        <v>28432.880000000012</v>
      </c>
      <c r="G34" s="155">
        <v>5870.04</v>
      </c>
      <c r="H34" s="180">
        <v>5870.04</v>
      </c>
      <c r="I34" s="195">
        <v>5869.97</v>
      </c>
      <c r="J34" s="82">
        <v>5868.11</v>
      </c>
      <c r="K34" s="69">
        <v>5864.67</v>
      </c>
      <c r="L34" s="167">
        <f t="shared" ref="L34:L98" si="4">H34-G34</f>
        <v>0</v>
      </c>
      <c r="M34" s="160">
        <f t="shared" ref="M34:M66" si="5">I34-G34</f>
        <v>-6.9999999999708962E-2</v>
      </c>
      <c r="N34" s="160">
        <f t="shared" ref="N34:N66" si="6">K34-I34</f>
        <v>-5.3000000000001819</v>
      </c>
      <c r="O34" s="160">
        <f t="shared" si="1"/>
        <v>-3.4399999999995998</v>
      </c>
      <c r="P34" s="161">
        <f t="shared" si="2"/>
        <v>-5.3699999999998909</v>
      </c>
      <c r="Q34" s="286"/>
      <c r="R34" s="287"/>
      <c r="S34" s="287"/>
      <c r="T34" s="287"/>
      <c r="U34" s="287"/>
      <c r="V34" s="287"/>
      <c r="W34" s="287"/>
      <c r="X34" s="288"/>
      <c r="Y34" s="170">
        <v>5864.7</v>
      </c>
      <c r="Z34" s="170">
        <v>5866.45</v>
      </c>
    </row>
    <row r="35" spans="1:26" s="59" customFormat="1" x14ac:dyDescent="0.2">
      <c r="A35" s="75" t="s">
        <v>86</v>
      </c>
      <c r="B35" s="83" t="s">
        <v>86</v>
      </c>
      <c r="C35" s="77" t="s">
        <v>86</v>
      </c>
      <c r="D35" s="77">
        <v>28704.639999999999</v>
      </c>
      <c r="E35" s="44">
        <v>28369.68</v>
      </c>
      <c r="F35" s="109">
        <v>28369.680000000011</v>
      </c>
      <c r="G35" s="130" t="s">
        <v>86</v>
      </c>
      <c r="H35" s="128" t="s">
        <v>86</v>
      </c>
      <c r="I35" s="72" t="s">
        <v>86</v>
      </c>
      <c r="J35" s="82">
        <v>5867.32</v>
      </c>
      <c r="K35" s="69">
        <v>5863.75</v>
      </c>
      <c r="L35" s="75" t="s">
        <v>86</v>
      </c>
      <c r="M35" s="72" t="s">
        <v>86</v>
      </c>
      <c r="N35" s="72" t="s">
        <v>86</v>
      </c>
      <c r="O35" s="72">
        <f t="shared" si="1"/>
        <v>-3.569999999999709</v>
      </c>
      <c r="P35" s="73" t="s">
        <v>86</v>
      </c>
      <c r="Q35" s="320"/>
      <c r="R35" s="321"/>
      <c r="S35" s="321"/>
      <c r="T35" s="321"/>
      <c r="U35" s="321"/>
      <c r="V35" s="321"/>
      <c r="W35" s="321"/>
      <c r="X35" s="322"/>
      <c r="Y35" s="172"/>
      <c r="Z35" s="172"/>
    </row>
    <row r="36" spans="1:26" s="59" customFormat="1" x14ac:dyDescent="0.2">
      <c r="A36" s="75" t="s">
        <v>86</v>
      </c>
      <c r="B36" s="83" t="s">
        <v>86</v>
      </c>
      <c r="C36" s="77" t="s">
        <v>86</v>
      </c>
      <c r="D36" s="77">
        <v>28652.639999999999</v>
      </c>
      <c r="E36" s="44">
        <v>28326.28</v>
      </c>
      <c r="F36" s="109">
        <v>28326.28000000001</v>
      </c>
      <c r="G36" s="130" t="s">
        <v>86</v>
      </c>
      <c r="H36" s="128" t="s">
        <v>86</v>
      </c>
      <c r="I36" s="72" t="s">
        <v>86</v>
      </c>
      <c r="J36" s="82">
        <v>5867.05</v>
      </c>
      <c r="K36" s="69">
        <v>5860.41</v>
      </c>
      <c r="L36" s="75" t="s">
        <v>86</v>
      </c>
      <c r="M36" s="72" t="s">
        <v>86</v>
      </c>
      <c r="N36" s="72" t="s">
        <v>86</v>
      </c>
      <c r="O36" s="72">
        <f t="shared" si="1"/>
        <v>-6.6400000000003274</v>
      </c>
      <c r="P36" s="73" t="s">
        <v>86</v>
      </c>
      <c r="Q36" s="320"/>
      <c r="R36" s="321"/>
      <c r="S36" s="321"/>
      <c r="T36" s="321"/>
      <c r="U36" s="321"/>
      <c r="V36" s="321"/>
      <c r="W36" s="321"/>
      <c r="X36" s="322"/>
      <c r="Y36" s="172"/>
      <c r="Z36" s="172"/>
    </row>
    <row r="37" spans="1:26" s="59" customFormat="1" x14ac:dyDescent="0.2">
      <c r="A37" s="75" t="s">
        <v>86</v>
      </c>
      <c r="B37" s="83" t="s">
        <v>86</v>
      </c>
      <c r="C37" s="77" t="s">
        <v>86</v>
      </c>
      <c r="D37" s="77">
        <v>28498.54</v>
      </c>
      <c r="E37" s="44">
        <v>28124.080000000002</v>
      </c>
      <c r="F37" s="109">
        <v>28124.080000000009</v>
      </c>
      <c r="G37" s="130" t="s">
        <v>86</v>
      </c>
      <c r="H37" s="128" t="s">
        <v>86</v>
      </c>
      <c r="I37" s="72" t="s">
        <v>86</v>
      </c>
      <c r="J37" s="82">
        <v>5864.99</v>
      </c>
      <c r="K37" s="69">
        <v>5859.6</v>
      </c>
      <c r="L37" s="75" t="s">
        <v>86</v>
      </c>
      <c r="M37" s="72" t="s">
        <v>86</v>
      </c>
      <c r="N37" s="72" t="s">
        <v>86</v>
      </c>
      <c r="O37" s="72">
        <f t="shared" si="1"/>
        <v>-5.3899999999994179</v>
      </c>
      <c r="P37" s="73" t="s">
        <v>86</v>
      </c>
      <c r="Q37" s="323"/>
      <c r="R37" s="324"/>
      <c r="S37" s="324"/>
      <c r="T37" s="324"/>
      <c r="U37" s="324"/>
      <c r="V37" s="324"/>
      <c r="W37" s="324"/>
      <c r="X37" s="325"/>
      <c r="Y37" s="172"/>
      <c r="Z37" s="172"/>
    </row>
    <row r="38" spans="1:26" s="59" customFormat="1" x14ac:dyDescent="0.2">
      <c r="A38" s="75" t="s">
        <v>86</v>
      </c>
      <c r="B38" s="83" t="s">
        <v>86</v>
      </c>
      <c r="C38" s="77" t="s">
        <v>86</v>
      </c>
      <c r="D38" s="77">
        <v>28292.74</v>
      </c>
      <c r="E38" s="44">
        <v>27850.78</v>
      </c>
      <c r="F38" s="109">
        <v>27850.78000000001</v>
      </c>
      <c r="G38" s="130" t="s">
        <v>86</v>
      </c>
      <c r="H38" s="128" t="s">
        <v>86</v>
      </c>
      <c r="I38" s="72" t="s">
        <v>86</v>
      </c>
      <c r="J38" s="82">
        <v>5863.27</v>
      </c>
      <c r="K38" s="69">
        <v>5858.87</v>
      </c>
      <c r="L38" s="75" t="s">
        <v>86</v>
      </c>
      <c r="M38" s="72" t="s">
        <v>86</v>
      </c>
      <c r="N38" s="72" t="s">
        <v>86</v>
      </c>
      <c r="O38" s="72">
        <f t="shared" si="1"/>
        <v>-4.4000000000005457</v>
      </c>
      <c r="P38" s="73" t="s">
        <v>86</v>
      </c>
      <c r="Q38" s="323"/>
      <c r="R38" s="324"/>
      <c r="S38" s="324"/>
      <c r="T38" s="324"/>
      <c r="U38" s="324"/>
      <c r="V38" s="324"/>
      <c r="W38" s="324"/>
      <c r="X38" s="325"/>
      <c r="Y38" s="172"/>
      <c r="Z38" s="172"/>
    </row>
    <row r="39" spans="1:26" s="59" customFormat="1" x14ac:dyDescent="0.2">
      <c r="A39" s="75" t="s">
        <v>86</v>
      </c>
      <c r="B39" s="83" t="s">
        <v>86</v>
      </c>
      <c r="C39" s="77" t="s">
        <v>86</v>
      </c>
      <c r="D39" s="77">
        <v>28230.54</v>
      </c>
      <c r="E39" s="44">
        <v>27701.58</v>
      </c>
      <c r="F39" s="109">
        <v>27701.580000000009</v>
      </c>
      <c r="G39" s="130" t="s">
        <v>86</v>
      </c>
      <c r="H39" s="128" t="s">
        <v>86</v>
      </c>
      <c r="I39" s="72" t="s">
        <v>86</v>
      </c>
      <c r="J39" s="82">
        <v>5862.28</v>
      </c>
      <c r="K39" s="69">
        <v>5857.58</v>
      </c>
      <c r="L39" s="75" t="s">
        <v>86</v>
      </c>
      <c r="M39" s="72" t="s">
        <v>86</v>
      </c>
      <c r="N39" s="72" t="s">
        <v>86</v>
      </c>
      <c r="O39" s="72">
        <f t="shared" si="1"/>
        <v>-4.6999999999998181</v>
      </c>
      <c r="P39" s="73" t="s">
        <v>86</v>
      </c>
      <c r="Q39" s="323"/>
      <c r="R39" s="324"/>
      <c r="S39" s="324"/>
      <c r="T39" s="324"/>
      <c r="U39" s="324"/>
      <c r="V39" s="324"/>
      <c r="W39" s="324"/>
      <c r="X39" s="325"/>
      <c r="Y39" s="172"/>
      <c r="Z39" s="172"/>
    </row>
    <row r="40" spans="1:26" s="59" customFormat="1" x14ac:dyDescent="0.2">
      <c r="A40" s="75" t="s">
        <v>86</v>
      </c>
      <c r="B40" s="83" t="s">
        <v>86</v>
      </c>
      <c r="C40" s="77" t="s">
        <v>86</v>
      </c>
      <c r="D40" s="77">
        <v>28124.14</v>
      </c>
      <c r="E40" s="44">
        <v>27656.18</v>
      </c>
      <c r="F40" s="109">
        <v>27656.180000000008</v>
      </c>
      <c r="G40" s="130" t="s">
        <v>86</v>
      </c>
      <c r="H40" s="128" t="s">
        <v>86</v>
      </c>
      <c r="I40" s="72" t="s">
        <v>86</v>
      </c>
      <c r="J40" s="82">
        <v>5862.1</v>
      </c>
      <c r="K40" s="69">
        <v>5854.65</v>
      </c>
      <c r="L40" s="75" t="s">
        <v>86</v>
      </c>
      <c r="M40" s="72" t="s">
        <v>86</v>
      </c>
      <c r="N40" s="72" t="s">
        <v>86</v>
      </c>
      <c r="O40" s="72">
        <f t="shared" si="1"/>
        <v>-7.4500000000007276</v>
      </c>
      <c r="P40" s="73" t="s">
        <v>86</v>
      </c>
      <c r="Q40" s="323"/>
      <c r="R40" s="324"/>
      <c r="S40" s="324"/>
      <c r="T40" s="324"/>
      <c r="U40" s="324"/>
      <c r="V40" s="324"/>
      <c r="W40" s="324"/>
      <c r="X40" s="325"/>
      <c r="Y40" s="172"/>
      <c r="Z40" s="172"/>
    </row>
    <row r="41" spans="1:26" s="59" customFormat="1" x14ac:dyDescent="0.2">
      <c r="A41" s="75" t="s">
        <v>86</v>
      </c>
      <c r="B41" s="83" t="s">
        <v>86</v>
      </c>
      <c r="C41" s="77" t="s">
        <v>86</v>
      </c>
      <c r="D41" s="77">
        <v>27942.240000000002</v>
      </c>
      <c r="E41" s="44">
        <v>27454.98</v>
      </c>
      <c r="F41" s="109">
        <v>27454.980000000007</v>
      </c>
      <c r="G41" s="130" t="s">
        <v>86</v>
      </c>
      <c r="H41" s="128" t="s">
        <v>86</v>
      </c>
      <c r="I41" s="72" t="s">
        <v>86</v>
      </c>
      <c r="J41" s="82">
        <v>5858.88</v>
      </c>
      <c r="K41" s="69">
        <v>5853.47</v>
      </c>
      <c r="L41" s="75" t="s">
        <v>86</v>
      </c>
      <c r="M41" s="72" t="s">
        <v>86</v>
      </c>
      <c r="N41" s="72" t="s">
        <v>86</v>
      </c>
      <c r="O41" s="72">
        <f t="shared" si="1"/>
        <v>-5.4099999999998545</v>
      </c>
      <c r="P41" s="73" t="s">
        <v>86</v>
      </c>
      <c r="Q41" s="323"/>
      <c r="R41" s="324"/>
      <c r="S41" s="324"/>
      <c r="T41" s="324"/>
      <c r="U41" s="324"/>
      <c r="V41" s="324"/>
      <c r="W41" s="324"/>
      <c r="X41" s="325"/>
      <c r="Y41" s="172"/>
      <c r="Z41" s="172"/>
    </row>
    <row r="42" spans="1:26" s="59" customFormat="1" x14ac:dyDescent="0.2">
      <c r="A42" s="75" t="s">
        <v>86</v>
      </c>
      <c r="B42" s="83" t="s">
        <v>86</v>
      </c>
      <c r="C42" s="77" t="s">
        <v>86</v>
      </c>
      <c r="D42" s="77">
        <v>27602.639999999999</v>
      </c>
      <c r="E42" s="44">
        <v>27264.48</v>
      </c>
      <c r="F42" s="109">
        <v>27264.480000000007</v>
      </c>
      <c r="G42" s="130" t="s">
        <v>86</v>
      </c>
      <c r="H42" s="128" t="s">
        <v>86</v>
      </c>
      <c r="I42" s="72" t="s">
        <v>86</v>
      </c>
      <c r="J42" s="82">
        <v>5855.08</v>
      </c>
      <c r="K42" s="69">
        <v>5852.03</v>
      </c>
      <c r="L42" s="75" t="s">
        <v>86</v>
      </c>
      <c r="M42" s="72" t="s">
        <v>86</v>
      </c>
      <c r="N42" s="72" t="s">
        <v>86</v>
      </c>
      <c r="O42" s="72">
        <f t="shared" si="1"/>
        <v>-3.0500000000001819</v>
      </c>
      <c r="P42" s="73" t="s">
        <v>86</v>
      </c>
      <c r="Q42" s="323"/>
      <c r="R42" s="324"/>
      <c r="S42" s="324"/>
      <c r="T42" s="324"/>
      <c r="U42" s="324"/>
      <c r="V42" s="324"/>
      <c r="W42" s="324"/>
      <c r="X42" s="325"/>
      <c r="Y42" s="172"/>
      <c r="Z42" s="172"/>
    </row>
    <row r="43" spans="1:26" s="59" customFormat="1" x14ac:dyDescent="0.2">
      <c r="A43" s="75" t="s">
        <v>86</v>
      </c>
      <c r="B43" s="83" t="s">
        <v>86</v>
      </c>
      <c r="C43" s="77" t="s">
        <v>86</v>
      </c>
      <c r="D43" s="77">
        <v>27560.14</v>
      </c>
      <c r="E43" s="44">
        <v>27223.08</v>
      </c>
      <c r="F43" s="109">
        <v>27223.080000000005</v>
      </c>
      <c r="G43" s="130" t="s">
        <v>86</v>
      </c>
      <c r="H43" s="128" t="s">
        <v>86</v>
      </c>
      <c r="I43" s="72" t="s">
        <v>86</v>
      </c>
      <c r="J43" s="82">
        <v>5853.49</v>
      </c>
      <c r="K43" s="69">
        <v>5848.93</v>
      </c>
      <c r="L43" s="75" t="s">
        <v>86</v>
      </c>
      <c r="M43" s="72" t="s">
        <v>86</v>
      </c>
      <c r="N43" s="72" t="s">
        <v>86</v>
      </c>
      <c r="O43" s="72">
        <f t="shared" si="1"/>
        <v>-4.5599999999994907</v>
      </c>
      <c r="P43" s="73" t="s">
        <v>86</v>
      </c>
      <c r="Q43" s="323"/>
      <c r="R43" s="324"/>
      <c r="S43" s="324"/>
      <c r="T43" s="324"/>
      <c r="U43" s="324"/>
      <c r="V43" s="324"/>
      <c r="W43" s="324"/>
      <c r="X43" s="325"/>
      <c r="Y43" s="172"/>
      <c r="Z43" s="172"/>
    </row>
    <row r="44" spans="1:26" s="59" customFormat="1" x14ac:dyDescent="0.2">
      <c r="A44" s="75" t="s">
        <v>86</v>
      </c>
      <c r="B44" s="83" t="s">
        <v>86</v>
      </c>
      <c r="C44" s="77" t="s">
        <v>86</v>
      </c>
      <c r="D44" s="77">
        <v>27365.94</v>
      </c>
      <c r="E44" s="44">
        <v>26917.58</v>
      </c>
      <c r="F44" s="109">
        <v>26917.580000000005</v>
      </c>
      <c r="G44" s="130" t="s">
        <v>86</v>
      </c>
      <c r="H44" s="128" t="s">
        <v>86</v>
      </c>
      <c r="I44" s="72" t="s">
        <v>86</v>
      </c>
      <c r="J44" s="82">
        <v>5851.67</v>
      </c>
      <c r="K44" s="69">
        <v>5847.67</v>
      </c>
      <c r="L44" s="75" t="s">
        <v>86</v>
      </c>
      <c r="M44" s="72" t="s">
        <v>86</v>
      </c>
      <c r="N44" s="72" t="s">
        <v>86</v>
      </c>
      <c r="O44" s="72">
        <f t="shared" si="1"/>
        <v>-4</v>
      </c>
      <c r="P44" s="73" t="s">
        <v>86</v>
      </c>
      <c r="Q44" s="323"/>
      <c r="R44" s="324"/>
      <c r="S44" s="324"/>
      <c r="T44" s="324"/>
      <c r="U44" s="324"/>
      <c r="V44" s="324"/>
      <c r="W44" s="324"/>
      <c r="X44" s="325"/>
      <c r="Y44" s="172"/>
      <c r="Z44" s="172"/>
    </row>
    <row r="45" spans="1:26" s="59" customFormat="1" x14ac:dyDescent="0.2">
      <c r="A45" s="78" t="s">
        <v>86</v>
      </c>
      <c r="B45" s="83" t="s">
        <v>86</v>
      </c>
      <c r="C45" s="77" t="s">
        <v>86</v>
      </c>
      <c r="D45" s="77">
        <v>27123.64</v>
      </c>
      <c r="E45" s="44">
        <v>26689.279999999999</v>
      </c>
      <c r="F45" s="109">
        <v>26689.280000000006</v>
      </c>
      <c r="G45" s="131" t="s">
        <v>86</v>
      </c>
      <c r="H45" s="128" t="s">
        <v>86</v>
      </c>
      <c r="I45" s="72" t="s">
        <v>86</v>
      </c>
      <c r="J45" s="82">
        <v>5848.49</v>
      </c>
      <c r="K45" s="69">
        <v>5846.17</v>
      </c>
      <c r="L45" s="78" t="s">
        <v>86</v>
      </c>
      <c r="M45" s="72" t="s">
        <v>86</v>
      </c>
      <c r="N45" s="72" t="s">
        <v>86</v>
      </c>
      <c r="O45" s="72">
        <f t="shared" si="1"/>
        <v>-2.319999999999709</v>
      </c>
      <c r="P45" s="73" t="s">
        <v>86</v>
      </c>
      <c r="Q45" s="323"/>
      <c r="R45" s="324"/>
      <c r="S45" s="324"/>
      <c r="T45" s="324"/>
      <c r="U45" s="324"/>
      <c r="V45" s="324"/>
      <c r="W45" s="324"/>
      <c r="X45" s="325"/>
      <c r="Y45" s="172"/>
      <c r="Z45" s="172"/>
    </row>
    <row r="46" spans="1:26" s="59" customFormat="1" x14ac:dyDescent="0.2">
      <c r="A46" s="75" t="s">
        <v>86</v>
      </c>
      <c r="B46" s="83" t="s">
        <v>86</v>
      </c>
      <c r="C46" s="77" t="s">
        <v>86</v>
      </c>
      <c r="D46" s="77">
        <v>27079.14</v>
      </c>
      <c r="E46" s="44">
        <v>26648.28</v>
      </c>
      <c r="F46" s="109">
        <v>26648.280000000006</v>
      </c>
      <c r="G46" s="130" t="s">
        <v>86</v>
      </c>
      <c r="H46" s="128" t="s">
        <v>86</v>
      </c>
      <c r="I46" s="72" t="s">
        <v>86</v>
      </c>
      <c r="J46" s="82">
        <v>5847.98</v>
      </c>
      <c r="K46" s="69">
        <v>5843.15</v>
      </c>
      <c r="L46" s="75" t="s">
        <v>86</v>
      </c>
      <c r="M46" s="72" t="s">
        <v>86</v>
      </c>
      <c r="N46" s="72" t="s">
        <v>86</v>
      </c>
      <c r="O46" s="72">
        <f t="shared" si="1"/>
        <v>-4.8299999999999272</v>
      </c>
      <c r="P46" s="73" t="s">
        <v>86</v>
      </c>
      <c r="Q46" s="323"/>
      <c r="R46" s="324"/>
      <c r="S46" s="324"/>
      <c r="T46" s="324"/>
      <c r="U46" s="324"/>
      <c r="V46" s="324"/>
      <c r="W46" s="324"/>
      <c r="X46" s="325"/>
      <c r="Y46" s="172"/>
      <c r="Z46" s="172"/>
    </row>
    <row r="47" spans="1:26" s="59" customFormat="1" x14ac:dyDescent="0.2">
      <c r="A47" s="75" t="s">
        <v>86</v>
      </c>
      <c r="B47" s="83" t="s">
        <v>86</v>
      </c>
      <c r="C47" s="77" t="s">
        <v>86</v>
      </c>
      <c r="D47" s="77" t="s">
        <v>86</v>
      </c>
      <c r="E47" s="44">
        <v>26570.28</v>
      </c>
      <c r="F47" s="109">
        <v>26570.280000000006</v>
      </c>
      <c r="G47" s="130" t="s">
        <v>86</v>
      </c>
      <c r="H47" s="128" t="s">
        <v>86</v>
      </c>
      <c r="I47" s="72" t="s">
        <v>86</v>
      </c>
      <c r="J47" s="82" t="s">
        <v>86</v>
      </c>
      <c r="K47" s="69">
        <v>5842</v>
      </c>
      <c r="L47" s="75" t="s">
        <v>86</v>
      </c>
      <c r="M47" s="72" t="s">
        <v>86</v>
      </c>
      <c r="N47" s="72" t="s">
        <v>86</v>
      </c>
      <c r="O47" s="72" t="s">
        <v>86</v>
      </c>
      <c r="P47" s="73" t="s">
        <v>86</v>
      </c>
      <c r="Q47" s="323"/>
      <c r="R47" s="324"/>
      <c r="S47" s="324"/>
      <c r="T47" s="324"/>
      <c r="U47" s="324"/>
      <c r="V47" s="324"/>
      <c r="W47" s="324"/>
      <c r="X47" s="325"/>
      <c r="Y47" s="172"/>
      <c r="Z47" s="172"/>
    </row>
    <row r="48" spans="1:26" s="59" customFormat="1" x14ac:dyDescent="0.2">
      <c r="A48" s="75" t="s">
        <v>86</v>
      </c>
      <c r="B48" s="83" t="s">
        <v>86</v>
      </c>
      <c r="C48" s="77" t="s">
        <v>86</v>
      </c>
      <c r="D48" s="77">
        <v>26888.04</v>
      </c>
      <c r="E48" s="44">
        <v>26503.38</v>
      </c>
      <c r="F48" s="109">
        <v>26503.380000000005</v>
      </c>
      <c r="G48" s="126" t="s">
        <v>86</v>
      </c>
      <c r="H48" s="132" t="s">
        <v>86</v>
      </c>
      <c r="I48" s="84" t="s">
        <v>86</v>
      </c>
      <c r="J48" s="82">
        <v>5846.36</v>
      </c>
      <c r="K48" s="69">
        <v>5841.25</v>
      </c>
      <c r="L48" s="75" t="s">
        <v>86</v>
      </c>
      <c r="M48" s="72" t="s">
        <v>86</v>
      </c>
      <c r="N48" s="72" t="s">
        <v>86</v>
      </c>
      <c r="O48" s="72">
        <f t="shared" si="1"/>
        <v>-5.1099999999996726</v>
      </c>
      <c r="P48" s="73" t="s">
        <v>86</v>
      </c>
      <c r="Q48" s="323"/>
      <c r="R48" s="324"/>
      <c r="S48" s="324"/>
      <c r="T48" s="324"/>
      <c r="U48" s="324"/>
      <c r="V48" s="324"/>
      <c r="W48" s="324"/>
      <c r="X48" s="325"/>
      <c r="Y48" s="172"/>
      <c r="Z48" s="172"/>
    </row>
    <row r="49" spans="1:26" s="59" customFormat="1" x14ac:dyDescent="0.2">
      <c r="A49" s="63" t="s">
        <v>97</v>
      </c>
      <c r="B49" s="77">
        <v>26145.200000000001</v>
      </c>
      <c r="C49" s="77">
        <v>26145.200000000001</v>
      </c>
      <c r="D49" s="77">
        <v>26818.240000000002</v>
      </c>
      <c r="E49" s="44">
        <v>26462.28</v>
      </c>
      <c r="F49" s="109">
        <v>26462.280000000006</v>
      </c>
      <c r="G49" s="126">
        <v>5847</v>
      </c>
      <c r="H49" s="181">
        <v>5847</v>
      </c>
      <c r="I49" s="207">
        <v>5847.02</v>
      </c>
      <c r="J49" s="82">
        <v>5845.67</v>
      </c>
      <c r="K49" s="69">
        <v>5838.85</v>
      </c>
      <c r="L49" s="75">
        <f t="shared" si="4"/>
        <v>0</v>
      </c>
      <c r="M49" s="71">
        <f t="shared" si="5"/>
        <v>2.0000000000436557E-2</v>
      </c>
      <c r="N49" s="72">
        <f t="shared" si="6"/>
        <v>-8.1700000000000728</v>
      </c>
      <c r="O49" s="72">
        <f t="shared" si="1"/>
        <v>-6.819999999999709</v>
      </c>
      <c r="P49" s="73">
        <f>K49-G49</f>
        <v>-8.1499999999996362</v>
      </c>
      <c r="Q49" s="323"/>
      <c r="R49" s="324"/>
      <c r="S49" s="324"/>
      <c r="T49" s="324"/>
      <c r="U49" s="324"/>
      <c r="V49" s="324"/>
      <c r="W49" s="324"/>
      <c r="X49" s="325"/>
      <c r="Y49" s="172"/>
      <c r="Z49" s="172"/>
    </row>
    <row r="50" spans="1:26" s="59" customFormat="1" x14ac:dyDescent="0.2">
      <c r="A50" s="63" t="s">
        <v>86</v>
      </c>
      <c r="B50" s="83" t="s">
        <v>86</v>
      </c>
      <c r="C50" s="77" t="s">
        <v>86</v>
      </c>
      <c r="D50" s="77">
        <v>26479.74</v>
      </c>
      <c r="E50" s="44">
        <v>26249.68</v>
      </c>
      <c r="F50" s="109">
        <v>26249.680000000008</v>
      </c>
      <c r="G50" s="126" t="s">
        <v>86</v>
      </c>
      <c r="H50" s="132" t="s">
        <v>86</v>
      </c>
      <c r="I50" s="68" t="s">
        <v>86</v>
      </c>
      <c r="J50" s="82">
        <v>5843.48</v>
      </c>
      <c r="K50" s="69">
        <v>5837.51</v>
      </c>
      <c r="L50" s="75" t="s">
        <v>86</v>
      </c>
      <c r="M50" s="72" t="s">
        <v>86</v>
      </c>
      <c r="N50" s="72" t="s">
        <v>86</v>
      </c>
      <c r="O50" s="72">
        <f t="shared" si="1"/>
        <v>-5.9699999999993452</v>
      </c>
      <c r="P50" s="73" t="s">
        <v>86</v>
      </c>
      <c r="Q50" s="323"/>
      <c r="R50" s="324"/>
      <c r="S50" s="324"/>
      <c r="T50" s="324"/>
      <c r="U50" s="324"/>
      <c r="V50" s="324"/>
      <c r="W50" s="324"/>
      <c r="X50" s="325"/>
      <c r="Y50" s="172"/>
      <c r="Z50" s="172"/>
    </row>
    <row r="51" spans="1:26" s="59" customFormat="1" x14ac:dyDescent="0.2">
      <c r="A51" s="63" t="s">
        <v>86</v>
      </c>
      <c r="B51" s="83" t="s">
        <v>86</v>
      </c>
      <c r="C51" s="77" t="s">
        <v>86</v>
      </c>
      <c r="D51" s="77">
        <v>26269.439999999999</v>
      </c>
      <c r="E51" s="44" t="s">
        <v>86</v>
      </c>
      <c r="F51" s="214" t="s">
        <v>86</v>
      </c>
      <c r="G51" s="126" t="s">
        <v>86</v>
      </c>
      <c r="H51" s="132" t="s">
        <v>86</v>
      </c>
      <c r="I51" s="68" t="s">
        <v>86</v>
      </c>
      <c r="J51" s="82">
        <v>5842.34</v>
      </c>
      <c r="K51" s="69" t="s">
        <v>86</v>
      </c>
      <c r="L51" s="75" t="s">
        <v>86</v>
      </c>
      <c r="M51" s="72" t="s">
        <v>86</v>
      </c>
      <c r="N51" s="72" t="s">
        <v>86</v>
      </c>
      <c r="O51" s="72" t="s">
        <v>86</v>
      </c>
      <c r="P51" s="73" t="s">
        <v>86</v>
      </c>
      <c r="Q51" s="323"/>
      <c r="R51" s="324"/>
      <c r="S51" s="324"/>
      <c r="T51" s="324"/>
      <c r="U51" s="324"/>
      <c r="V51" s="324"/>
      <c r="W51" s="324"/>
      <c r="X51" s="325"/>
      <c r="Y51" s="172"/>
      <c r="Z51" s="172"/>
    </row>
    <row r="52" spans="1:26" s="59" customFormat="1" x14ac:dyDescent="0.2">
      <c r="A52" s="63" t="s">
        <v>86</v>
      </c>
      <c r="B52" s="83" t="s">
        <v>86</v>
      </c>
      <c r="C52" s="77" t="s">
        <v>86</v>
      </c>
      <c r="D52" s="77">
        <v>26035.14</v>
      </c>
      <c r="E52" s="44">
        <v>25854.28</v>
      </c>
      <c r="F52" s="109">
        <v>25854.280000000006</v>
      </c>
      <c r="G52" s="126" t="s">
        <v>86</v>
      </c>
      <c r="H52" s="132" t="s">
        <v>86</v>
      </c>
      <c r="I52" s="68" t="s">
        <v>86</v>
      </c>
      <c r="J52" s="82">
        <v>5840.08</v>
      </c>
      <c r="K52" s="69">
        <v>5836.51</v>
      </c>
      <c r="L52" s="75" t="s">
        <v>86</v>
      </c>
      <c r="M52" s="72" t="s">
        <v>86</v>
      </c>
      <c r="N52" s="72" t="s">
        <v>86</v>
      </c>
      <c r="O52" s="72">
        <f t="shared" si="1"/>
        <v>-3.569999999999709</v>
      </c>
      <c r="P52" s="73" t="s">
        <v>86</v>
      </c>
      <c r="Q52" s="323"/>
      <c r="R52" s="324"/>
      <c r="S52" s="324"/>
      <c r="T52" s="324"/>
      <c r="U52" s="324"/>
      <c r="V52" s="324"/>
      <c r="W52" s="324"/>
      <c r="X52" s="325"/>
      <c r="Y52" s="172"/>
      <c r="Z52" s="172"/>
    </row>
    <row r="53" spans="1:26" s="59" customFormat="1" x14ac:dyDescent="0.2">
      <c r="A53" s="63" t="s">
        <v>86</v>
      </c>
      <c r="B53" s="83" t="s">
        <v>86</v>
      </c>
      <c r="C53" s="77" t="s">
        <v>86</v>
      </c>
      <c r="D53" s="77">
        <v>25716.14</v>
      </c>
      <c r="E53" s="44">
        <v>25521.88</v>
      </c>
      <c r="F53" s="109">
        <v>25521.880000000005</v>
      </c>
      <c r="G53" s="126" t="s">
        <v>86</v>
      </c>
      <c r="H53" s="132" t="s">
        <v>86</v>
      </c>
      <c r="I53" s="68" t="s">
        <v>86</v>
      </c>
      <c r="J53" s="82">
        <v>5836.63</v>
      </c>
      <c r="K53" s="69">
        <v>5834.59</v>
      </c>
      <c r="L53" s="75" t="s">
        <v>86</v>
      </c>
      <c r="M53" s="72" t="s">
        <v>86</v>
      </c>
      <c r="N53" s="72" t="s">
        <v>86</v>
      </c>
      <c r="O53" s="72">
        <f t="shared" si="1"/>
        <v>-2.0399999999999636</v>
      </c>
      <c r="P53" s="73" t="s">
        <v>86</v>
      </c>
      <c r="Q53" s="323"/>
      <c r="R53" s="324"/>
      <c r="S53" s="324"/>
      <c r="T53" s="324"/>
      <c r="U53" s="324"/>
      <c r="V53" s="324"/>
      <c r="W53" s="324"/>
      <c r="X53" s="325"/>
      <c r="Y53" s="172"/>
      <c r="Z53" s="172"/>
    </row>
    <row r="54" spans="1:26" s="59" customFormat="1" x14ac:dyDescent="0.2">
      <c r="A54" s="63" t="s">
        <v>86</v>
      </c>
      <c r="B54" s="83" t="s">
        <v>86</v>
      </c>
      <c r="C54" s="77" t="s">
        <v>86</v>
      </c>
      <c r="D54" s="77">
        <v>25679.84</v>
      </c>
      <c r="E54" s="44">
        <v>25484.98</v>
      </c>
      <c r="F54" s="109">
        <v>25484.980000000003</v>
      </c>
      <c r="G54" s="126" t="s">
        <v>86</v>
      </c>
      <c r="H54" s="132" t="s">
        <v>86</v>
      </c>
      <c r="I54" s="68" t="s">
        <v>86</v>
      </c>
      <c r="J54" s="82">
        <v>5835.87</v>
      </c>
      <c r="K54" s="69">
        <v>5832.38</v>
      </c>
      <c r="L54" s="75" t="s">
        <v>86</v>
      </c>
      <c r="M54" s="72" t="s">
        <v>86</v>
      </c>
      <c r="N54" s="72" t="s">
        <v>86</v>
      </c>
      <c r="O54" s="72">
        <f t="shared" si="1"/>
        <v>-3.4899999999997817</v>
      </c>
      <c r="P54" s="73" t="s">
        <v>86</v>
      </c>
      <c r="Q54" s="323"/>
      <c r="R54" s="324"/>
      <c r="S54" s="324"/>
      <c r="T54" s="324"/>
      <c r="U54" s="324"/>
      <c r="V54" s="324"/>
      <c r="W54" s="324"/>
      <c r="X54" s="325"/>
      <c r="Y54" s="172"/>
      <c r="Z54" s="172"/>
    </row>
    <row r="55" spans="1:26" s="162" customFormat="1" x14ac:dyDescent="0.2">
      <c r="A55" s="152" t="s">
        <v>98</v>
      </c>
      <c r="B55" s="168">
        <v>24885.200000000001</v>
      </c>
      <c r="C55" s="168">
        <v>24885.200000000001</v>
      </c>
      <c r="D55" s="168">
        <v>25433.34</v>
      </c>
      <c r="E55" s="153">
        <v>25166.78</v>
      </c>
      <c r="F55" s="154">
        <v>25166.780000000002</v>
      </c>
      <c r="G55" s="155">
        <v>5831.5199999999995</v>
      </c>
      <c r="H55" s="180">
        <v>5831.5</v>
      </c>
      <c r="I55" s="68">
        <v>5831.5</v>
      </c>
      <c r="J55" s="198">
        <v>5832.42</v>
      </c>
      <c r="K55" s="69">
        <v>5830.8</v>
      </c>
      <c r="L55" s="167">
        <f t="shared" si="4"/>
        <v>-1.9999999999527063E-2</v>
      </c>
      <c r="M55" s="160">
        <f t="shared" si="5"/>
        <v>-1.9999999999527063E-2</v>
      </c>
      <c r="N55" s="160">
        <f t="shared" si="6"/>
        <v>-0.6999999999998181</v>
      </c>
      <c r="O55" s="160">
        <f t="shared" si="1"/>
        <v>-1.6199999999998909</v>
      </c>
      <c r="P55" s="161">
        <f t="shared" si="2"/>
        <v>-0.71999999999934516</v>
      </c>
      <c r="Q55" s="335"/>
      <c r="R55" s="336"/>
      <c r="S55" s="336"/>
      <c r="T55" s="336"/>
      <c r="U55" s="336"/>
      <c r="V55" s="336"/>
      <c r="W55" s="336"/>
      <c r="X55" s="337"/>
      <c r="Y55" s="170">
        <v>5830.8</v>
      </c>
      <c r="Z55" s="170">
        <v>5828.73</v>
      </c>
    </row>
    <row r="56" spans="1:26" s="59" customFormat="1" ht="62.45" customHeight="1" x14ac:dyDescent="0.2">
      <c r="A56" s="63" t="s">
        <v>86</v>
      </c>
      <c r="B56" s="83" t="s">
        <v>86</v>
      </c>
      <c r="C56" s="77" t="s">
        <v>86</v>
      </c>
      <c r="D56" s="77">
        <v>25126.74</v>
      </c>
      <c r="E56" s="44">
        <v>24837.98</v>
      </c>
      <c r="F56" s="109">
        <v>24837.980000000003</v>
      </c>
      <c r="G56" s="126" t="s">
        <v>86</v>
      </c>
      <c r="H56" s="128" t="s">
        <v>86</v>
      </c>
      <c r="I56" s="72" t="s">
        <v>86</v>
      </c>
      <c r="J56" s="82">
        <v>5828.25</v>
      </c>
      <c r="K56" s="69">
        <v>5829.76</v>
      </c>
      <c r="L56" s="75" t="s">
        <v>86</v>
      </c>
      <c r="M56" s="72" t="s">
        <v>86</v>
      </c>
      <c r="N56" s="72" t="s">
        <v>86</v>
      </c>
      <c r="O56" s="71">
        <f t="shared" si="1"/>
        <v>1.5100000000002183</v>
      </c>
      <c r="P56" s="73" t="s">
        <v>86</v>
      </c>
      <c r="Q56" s="332" t="s">
        <v>114</v>
      </c>
      <c r="R56" s="333"/>
      <c r="S56" s="333"/>
      <c r="T56" s="333"/>
      <c r="U56" s="333"/>
      <c r="V56" s="333"/>
      <c r="W56" s="333"/>
      <c r="X56" s="334"/>
    </row>
    <row r="57" spans="1:26" s="59" customFormat="1" ht="62.45" customHeight="1" x14ac:dyDescent="0.2">
      <c r="A57" s="63" t="s">
        <v>86</v>
      </c>
      <c r="B57" s="83" t="s">
        <v>86</v>
      </c>
      <c r="C57" s="77" t="s">
        <v>86</v>
      </c>
      <c r="D57" s="77">
        <v>24850.94</v>
      </c>
      <c r="E57" s="44">
        <v>24538.38</v>
      </c>
      <c r="F57" s="109">
        <v>24538.380000000005</v>
      </c>
      <c r="G57" s="126" t="s">
        <v>86</v>
      </c>
      <c r="H57" s="128" t="s">
        <v>86</v>
      </c>
      <c r="I57" s="72" t="s">
        <v>86</v>
      </c>
      <c r="J57" s="82">
        <v>5825.9</v>
      </c>
      <c r="K57" s="69">
        <v>5828.75</v>
      </c>
      <c r="L57" s="75" t="s">
        <v>86</v>
      </c>
      <c r="M57" s="72" t="s">
        <v>86</v>
      </c>
      <c r="N57" s="72" t="s">
        <v>86</v>
      </c>
      <c r="O57" s="71">
        <f t="shared" si="1"/>
        <v>2.8500000000003638</v>
      </c>
      <c r="P57" s="73" t="s">
        <v>86</v>
      </c>
      <c r="Q57" s="332" t="s">
        <v>114</v>
      </c>
      <c r="R57" s="333"/>
      <c r="S57" s="333"/>
      <c r="T57" s="333"/>
      <c r="U57" s="333"/>
      <c r="V57" s="333"/>
      <c r="W57" s="333"/>
      <c r="X57" s="334"/>
    </row>
    <row r="58" spans="1:26" s="59" customFormat="1" ht="62.45" customHeight="1" x14ac:dyDescent="0.2">
      <c r="A58" s="63" t="s">
        <v>86</v>
      </c>
      <c r="B58" s="83" t="s">
        <v>86</v>
      </c>
      <c r="C58" s="77" t="s">
        <v>86</v>
      </c>
      <c r="D58" s="77">
        <v>24536.639999999999</v>
      </c>
      <c r="E58" s="44">
        <v>24241.78</v>
      </c>
      <c r="F58" s="109">
        <v>24241.780000000006</v>
      </c>
      <c r="G58" s="126" t="s">
        <v>86</v>
      </c>
      <c r="H58" s="128" t="s">
        <v>86</v>
      </c>
      <c r="I58" s="72" t="s">
        <v>86</v>
      </c>
      <c r="J58" s="82">
        <v>5823.27</v>
      </c>
      <c r="K58" s="69">
        <v>5827.01</v>
      </c>
      <c r="L58" s="75" t="s">
        <v>86</v>
      </c>
      <c r="M58" s="72" t="s">
        <v>86</v>
      </c>
      <c r="N58" s="72" t="s">
        <v>86</v>
      </c>
      <c r="O58" s="71">
        <f t="shared" si="1"/>
        <v>3.7399999999997817</v>
      </c>
      <c r="P58" s="73" t="s">
        <v>86</v>
      </c>
      <c r="Q58" s="332" t="s">
        <v>114</v>
      </c>
      <c r="R58" s="333"/>
      <c r="S58" s="333"/>
      <c r="T58" s="333"/>
      <c r="U58" s="333"/>
      <c r="V58" s="333"/>
      <c r="W58" s="333"/>
      <c r="X58" s="334"/>
    </row>
    <row r="59" spans="1:26" s="59" customFormat="1" ht="62.45" customHeight="1" x14ac:dyDescent="0.2">
      <c r="A59" s="63" t="s">
        <v>86</v>
      </c>
      <c r="B59" s="83" t="s">
        <v>86</v>
      </c>
      <c r="C59" s="77" t="s">
        <v>86</v>
      </c>
      <c r="D59" s="77">
        <v>24496.44</v>
      </c>
      <c r="E59" s="44">
        <v>24201.78</v>
      </c>
      <c r="F59" s="109">
        <v>24201.780000000006</v>
      </c>
      <c r="G59" s="126" t="s">
        <v>86</v>
      </c>
      <c r="H59" s="128" t="s">
        <v>86</v>
      </c>
      <c r="I59" s="72" t="s">
        <v>86</v>
      </c>
      <c r="J59" s="82">
        <v>5823.01</v>
      </c>
      <c r="K59" s="69">
        <v>5825.59</v>
      </c>
      <c r="L59" s="75" t="s">
        <v>86</v>
      </c>
      <c r="M59" s="72" t="s">
        <v>86</v>
      </c>
      <c r="N59" s="72" t="s">
        <v>86</v>
      </c>
      <c r="O59" s="71">
        <f t="shared" si="1"/>
        <v>2.5799999999999272</v>
      </c>
      <c r="P59" s="73" t="s">
        <v>86</v>
      </c>
      <c r="Q59" s="332" t="s">
        <v>114</v>
      </c>
      <c r="R59" s="333"/>
      <c r="S59" s="333"/>
      <c r="T59" s="333"/>
      <c r="U59" s="333"/>
      <c r="V59" s="333"/>
      <c r="W59" s="333"/>
      <c r="X59" s="334"/>
    </row>
    <row r="60" spans="1:26" s="59" customFormat="1" ht="62.45" customHeight="1" x14ac:dyDescent="0.2">
      <c r="A60" s="63" t="s">
        <v>86</v>
      </c>
      <c r="B60" s="83" t="s">
        <v>86</v>
      </c>
      <c r="C60" s="77" t="s">
        <v>86</v>
      </c>
      <c r="D60" s="77">
        <v>24423.14</v>
      </c>
      <c r="E60" s="44">
        <v>24129.38</v>
      </c>
      <c r="F60" s="109">
        <v>24129.380000000005</v>
      </c>
      <c r="G60" s="126" t="s">
        <v>86</v>
      </c>
      <c r="H60" s="128" t="s">
        <v>86</v>
      </c>
      <c r="I60" s="72" t="s">
        <v>86</v>
      </c>
      <c r="J60" s="82">
        <v>5822.53</v>
      </c>
      <c r="K60" s="69">
        <v>5823.81</v>
      </c>
      <c r="L60" s="75" t="s">
        <v>86</v>
      </c>
      <c r="M60" s="72" t="s">
        <v>86</v>
      </c>
      <c r="N60" s="72" t="s">
        <v>86</v>
      </c>
      <c r="O60" s="71">
        <f t="shared" si="1"/>
        <v>1.2800000000006548</v>
      </c>
      <c r="P60" s="73" t="s">
        <v>86</v>
      </c>
      <c r="Q60" s="332" t="s">
        <v>114</v>
      </c>
      <c r="R60" s="333"/>
      <c r="S60" s="333"/>
      <c r="T60" s="333"/>
      <c r="U60" s="333"/>
      <c r="V60" s="333"/>
      <c r="W60" s="333"/>
      <c r="X60" s="334"/>
    </row>
    <row r="61" spans="1:26" s="59" customFormat="1" ht="62.45" customHeight="1" x14ac:dyDescent="0.2">
      <c r="A61" s="63" t="s">
        <v>86</v>
      </c>
      <c r="B61" s="83" t="s">
        <v>86</v>
      </c>
      <c r="C61" s="77" t="s">
        <v>86</v>
      </c>
      <c r="D61" s="77">
        <v>24317.439999999999</v>
      </c>
      <c r="E61" s="44">
        <v>24023.18</v>
      </c>
      <c r="F61" s="109">
        <v>24023.180000000004</v>
      </c>
      <c r="G61" s="126" t="s">
        <v>86</v>
      </c>
      <c r="H61" s="128" t="s">
        <v>86</v>
      </c>
      <c r="I61" s="72" t="s">
        <v>86</v>
      </c>
      <c r="J61" s="82">
        <v>5821.93</v>
      </c>
      <c r="K61" s="69">
        <v>5822.78</v>
      </c>
      <c r="L61" s="75" t="s">
        <v>86</v>
      </c>
      <c r="M61" s="72" t="s">
        <v>86</v>
      </c>
      <c r="N61" s="72" t="s">
        <v>86</v>
      </c>
      <c r="O61" s="71">
        <f t="shared" si="1"/>
        <v>0.8499999999994543</v>
      </c>
      <c r="P61" s="73" t="s">
        <v>86</v>
      </c>
      <c r="Q61" s="332" t="s">
        <v>114</v>
      </c>
      <c r="R61" s="333"/>
      <c r="S61" s="333"/>
      <c r="T61" s="333"/>
      <c r="U61" s="333"/>
      <c r="V61" s="333"/>
      <c r="W61" s="333"/>
      <c r="X61" s="334"/>
    </row>
    <row r="62" spans="1:26" s="59" customFormat="1" x14ac:dyDescent="0.2">
      <c r="A62" s="63" t="s">
        <v>86</v>
      </c>
      <c r="B62" s="83" t="s">
        <v>86</v>
      </c>
      <c r="C62" s="77" t="s">
        <v>86</v>
      </c>
      <c r="D62" s="77">
        <v>24260.639999999999</v>
      </c>
      <c r="E62" s="44">
        <v>23980.78</v>
      </c>
      <c r="F62" s="109">
        <v>23980.780000000002</v>
      </c>
      <c r="G62" s="126" t="s">
        <v>86</v>
      </c>
      <c r="H62" s="128" t="s">
        <v>86</v>
      </c>
      <c r="I62" s="72" t="s">
        <v>86</v>
      </c>
      <c r="J62" s="82">
        <v>5821.05</v>
      </c>
      <c r="K62" s="69">
        <v>5820.39</v>
      </c>
      <c r="L62" s="75" t="s">
        <v>86</v>
      </c>
      <c r="M62" s="72" t="s">
        <v>86</v>
      </c>
      <c r="N62" s="72" t="s">
        <v>86</v>
      </c>
      <c r="O62" s="72">
        <f t="shared" si="1"/>
        <v>-0.65999999999985448</v>
      </c>
      <c r="P62" s="73" t="s">
        <v>86</v>
      </c>
      <c r="Q62" s="292"/>
      <c r="R62" s="293"/>
      <c r="S62" s="293"/>
      <c r="T62" s="293"/>
      <c r="U62" s="293"/>
      <c r="V62" s="293"/>
      <c r="W62" s="293"/>
      <c r="X62" s="294"/>
    </row>
    <row r="63" spans="1:26" s="59" customFormat="1" x14ac:dyDescent="0.2">
      <c r="A63" s="63" t="s">
        <v>86</v>
      </c>
      <c r="B63" s="83" t="s">
        <v>86</v>
      </c>
      <c r="C63" s="77" t="s">
        <v>86</v>
      </c>
      <c r="D63" s="77">
        <v>24070.14</v>
      </c>
      <c r="E63" s="44">
        <v>23794.880000000001</v>
      </c>
      <c r="F63" s="109">
        <v>23794.880000000001</v>
      </c>
      <c r="G63" s="126" t="s">
        <v>86</v>
      </c>
      <c r="H63" s="128" t="s">
        <v>86</v>
      </c>
      <c r="I63" s="72" t="s">
        <v>86</v>
      </c>
      <c r="J63" s="82">
        <v>5820.57</v>
      </c>
      <c r="K63" s="69">
        <v>5818.73</v>
      </c>
      <c r="L63" s="75" t="s">
        <v>86</v>
      </c>
      <c r="M63" s="72" t="s">
        <v>86</v>
      </c>
      <c r="N63" s="72" t="s">
        <v>86</v>
      </c>
      <c r="O63" s="72">
        <f t="shared" si="1"/>
        <v>-1.8400000000001455</v>
      </c>
      <c r="P63" s="73" t="s">
        <v>86</v>
      </c>
      <c r="Q63" s="292"/>
      <c r="R63" s="293"/>
      <c r="S63" s="293"/>
      <c r="T63" s="293"/>
      <c r="U63" s="293"/>
      <c r="V63" s="293"/>
      <c r="W63" s="293"/>
      <c r="X63" s="294"/>
    </row>
    <row r="64" spans="1:26" s="59" customFormat="1" x14ac:dyDescent="0.2">
      <c r="A64" s="63" t="s">
        <v>86</v>
      </c>
      <c r="B64" s="83" t="s">
        <v>86</v>
      </c>
      <c r="C64" s="77" t="s">
        <v>86</v>
      </c>
      <c r="D64" s="77">
        <v>23909.34</v>
      </c>
      <c r="E64" s="44">
        <v>23648.48</v>
      </c>
      <c r="F64" s="109">
        <v>23648.48</v>
      </c>
      <c r="G64" s="126" t="s">
        <v>86</v>
      </c>
      <c r="H64" s="128" t="s">
        <v>86</v>
      </c>
      <c r="I64" s="72" t="s">
        <v>86</v>
      </c>
      <c r="J64" s="82">
        <v>5820.36</v>
      </c>
      <c r="K64" s="69">
        <v>5817.46</v>
      </c>
      <c r="L64" s="75" t="s">
        <v>86</v>
      </c>
      <c r="M64" s="72" t="s">
        <v>86</v>
      </c>
      <c r="N64" s="72" t="s">
        <v>86</v>
      </c>
      <c r="O64" s="72">
        <f t="shared" si="1"/>
        <v>-2.8999999999996362</v>
      </c>
      <c r="P64" s="73" t="s">
        <v>86</v>
      </c>
      <c r="Q64" s="292"/>
      <c r="R64" s="293"/>
      <c r="S64" s="293"/>
      <c r="T64" s="293"/>
      <c r="U64" s="293"/>
      <c r="V64" s="293"/>
      <c r="W64" s="293"/>
      <c r="X64" s="294"/>
    </row>
    <row r="65" spans="1:24" s="59" customFormat="1" x14ac:dyDescent="0.2">
      <c r="A65" s="63" t="s">
        <v>86</v>
      </c>
      <c r="B65" s="83" t="s">
        <v>86</v>
      </c>
      <c r="C65" s="77" t="s">
        <v>86</v>
      </c>
      <c r="D65" s="77">
        <v>23871.84</v>
      </c>
      <c r="E65" s="44">
        <v>23613.18</v>
      </c>
      <c r="F65" s="109">
        <v>23613.18</v>
      </c>
      <c r="G65" s="126" t="s">
        <v>86</v>
      </c>
      <c r="H65" s="128" t="s">
        <v>86</v>
      </c>
      <c r="I65" s="72" t="s">
        <v>86</v>
      </c>
      <c r="J65" s="82">
        <v>5820.33</v>
      </c>
      <c r="K65" s="69">
        <v>5815.43</v>
      </c>
      <c r="L65" s="75" t="s">
        <v>86</v>
      </c>
      <c r="M65" s="72" t="s">
        <v>86</v>
      </c>
      <c r="N65" s="72" t="s">
        <v>86</v>
      </c>
      <c r="O65" s="72">
        <f t="shared" si="1"/>
        <v>-4.8999999999996362</v>
      </c>
      <c r="P65" s="73" t="s">
        <v>86</v>
      </c>
      <c r="Q65" s="292"/>
      <c r="R65" s="293"/>
      <c r="S65" s="293"/>
      <c r="T65" s="293"/>
      <c r="U65" s="293"/>
      <c r="V65" s="293"/>
      <c r="W65" s="293"/>
      <c r="X65" s="294"/>
    </row>
    <row r="66" spans="1:24" s="59" customFormat="1" ht="78" customHeight="1" x14ac:dyDescent="0.2">
      <c r="A66" s="63" t="s">
        <v>99</v>
      </c>
      <c r="B66" s="77">
        <v>23155.200000000001</v>
      </c>
      <c r="C66" s="77">
        <v>23155.200000000001</v>
      </c>
      <c r="D66" s="77">
        <v>23611.439999999999</v>
      </c>
      <c r="E66" s="44">
        <v>23339.88</v>
      </c>
      <c r="F66" s="109">
        <v>23339.88</v>
      </c>
      <c r="G66" s="126">
        <v>5812.4</v>
      </c>
      <c r="H66" s="181">
        <v>5812.3899999999994</v>
      </c>
      <c r="I66" s="68">
        <v>5812.42</v>
      </c>
      <c r="J66" s="82">
        <v>5820.32</v>
      </c>
      <c r="K66" s="69">
        <v>5815.36</v>
      </c>
      <c r="L66" s="75">
        <f t="shared" si="4"/>
        <v>-1.0000000000218279E-2</v>
      </c>
      <c r="M66" s="71">
        <f t="shared" si="5"/>
        <v>2.0000000000436557E-2</v>
      </c>
      <c r="N66" s="71">
        <f t="shared" si="6"/>
        <v>2.9399999999995998</v>
      </c>
      <c r="O66" s="72">
        <f t="shared" si="1"/>
        <v>-4.9600000000000364</v>
      </c>
      <c r="P66" s="96">
        <f t="shared" si="2"/>
        <v>2.9600000000000364</v>
      </c>
      <c r="Q66" s="338" t="s">
        <v>115</v>
      </c>
      <c r="R66" s="339"/>
      <c r="S66" s="339"/>
      <c r="T66" s="339"/>
      <c r="U66" s="339"/>
      <c r="V66" s="339"/>
      <c r="W66" s="339"/>
      <c r="X66" s="340"/>
    </row>
    <row r="67" spans="1:24" s="59" customFormat="1" x14ac:dyDescent="0.2">
      <c r="A67" s="98" t="s">
        <v>86</v>
      </c>
      <c r="B67" s="72" t="s">
        <v>86</v>
      </c>
      <c r="C67" s="77" t="s">
        <v>86</v>
      </c>
      <c r="D67" s="77">
        <v>23445.64</v>
      </c>
      <c r="E67" s="44" t="s">
        <v>86</v>
      </c>
      <c r="F67" s="214" t="s">
        <v>86</v>
      </c>
      <c r="G67" s="126" t="s">
        <v>86</v>
      </c>
      <c r="H67" s="132" t="s">
        <v>86</v>
      </c>
      <c r="I67" s="79" t="s">
        <v>86</v>
      </c>
      <c r="J67" s="82">
        <v>5820.3</v>
      </c>
      <c r="K67" s="69" t="s">
        <v>86</v>
      </c>
      <c r="L67" s="75" t="s">
        <v>86</v>
      </c>
      <c r="M67" s="72" t="s">
        <v>86</v>
      </c>
      <c r="N67" s="72" t="s">
        <v>86</v>
      </c>
      <c r="O67" s="72" t="s">
        <v>86</v>
      </c>
      <c r="P67" s="73" t="s">
        <v>86</v>
      </c>
      <c r="Q67" s="323"/>
      <c r="R67" s="324"/>
      <c r="S67" s="324"/>
      <c r="T67" s="324"/>
      <c r="U67" s="324"/>
      <c r="V67" s="324"/>
      <c r="W67" s="324"/>
      <c r="X67" s="325"/>
    </row>
    <row r="68" spans="1:24" s="59" customFormat="1" x14ac:dyDescent="0.2">
      <c r="A68" s="98" t="s">
        <v>86</v>
      </c>
      <c r="B68" s="72" t="s">
        <v>86</v>
      </c>
      <c r="C68" s="77" t="s">
        <v>86</v>
      </c>
      <c r="D68" s="77" t="s">
        <v>86</v>
      </c>
      <c r="E68" s="44">
        <v>23006.58</v>
      </c>
      <c r="F68" s="109">
        <v>23006.58</v>
      </c>
      <c r="G68" s="126" t="s">
        <v>86</v>
      </c>
      <c r="H68" s="132" t="s">
        <v>86</v>
      </c>
      <c r="I68" s="79" t="s">
        <v>86</v>
      </c>
      <c r="J68" s="82" t="s">
        <v>86</v>
      </c>
      <c r="K68" s="69">
        <v>5812.75</v>
      </c>
      <c r="L68" s="75" t="s">
        <v>86</v>
      </c>
      <c r="M68" s="72" t="s">
        <v>86</v>
      </c>
      <c r="N68" s="72" t="s">
        <v>86</v>
      </c>
      <c r="O68" s="72" t="s">
        <v>86</v>
      </c>
      <c r="P68" s="73" t="s">
        <v>86</v>
      </c>
      <c r="Q68" s="323"/>
      <c r="R68" s="324"/>
      <c r="S68" s="324"/>
      <c r="T68" s="324"/>
      <c r="U68" s="324"/>
      <c r="V68" s="324"/>
      <c r="W68" s="324"/>
      <c r="X68" s="325"/>
    </row>
    <row r="69" spans="1:24" s="59" customFormat="1" x14ac:dyDescent="0.2">
      <c r="A69" s="98" t="s">
        <v>86</v>
      </c>
      <c r="B69" s="72" t="s">
        <v>86</v>
      </c>
      <c r="C69" s="77" t="s">
        <v>86</v>
      </c>
      <c r="D69" s="77">
        <v>23193.64</v>
      </c>
      <c r="E69" s="44">
        <v>22963.98</v>
      </c>
      <c r="F69" s="109">
        <v>22963.980000000003</v>
      </c>
      <c r="G69" s="126" t="s">
        <v>86</v>
      </c>
      <c r="H69" s="132" t="s">
        <v>86</v>
      </c>
      <c r="I69" s="79" t="s">
        <v>86</v>
      </c>
      <c r="J69" s="82">
        <v>5820.3</v>
      </c>
      <c r="K69" s="69">
        <v>5811.78</v>
      </c>
      <c r="L69" s="75" t="s">
        <v>86</v>
      </c>
      <c r="M69" s="72" t="s">
        <v>86</v>
      </c>
      <c r="N69" s="72" t="s">
        <v>86</v>
      </c>
      <c r="O69" s="72">
        <f t="shared" ref="O69:O112" si="7">K69-J69</f>
        <v>-8.5200000000004366</v>
      </c>
      <c r="P69" s="73" t="s">
        <v>86</v>
      </c>
      <c r="Q69" s="323"/>
      <c r="R69" s="324"/>
      <c r="S69" s="324"/>
      <c r="T69" s="324"/>
      <c r="U69" s="324"/>
      <c r="V69" s="324"/>
      <c r="W69" s="324"/>
      <c r="X69" s="325"/>
    </row>
    <row r="70" spans="1:24" s="59" customFormat="1" x14ac:dyDescent="0.2">
      <c r="A70" s="98" t="s">
        <v>86</v>
      </c>
      <c r="B70" s="72" t="s">
        <v>86</v>
      </c>
      <c r="C70" s="77" t="s">
        <v>86</v>
      </c>
      <c r="D70" s="77">
        <v>23013.83</v>
      </c>
      <c r="E70" s="44" t="s">
        <v>86</v>
      </c>
      <c r="F70" s="214" t="s">
        <v>86</v>
      </c>
      <c r="G70" s="126" t="s">
        <v>86</v>
      </c>
      <c r="H70" s="132" t="s">
        <v>86</v>
      </c>
      <c r="I70" s="79" t="s">
        <v>86</v>
      </c>
      <c r="J70" s="82">
        <v>5813.35</v>
      </c>
      <c r="K70" s="69" t="s">
        <v>86</v>
      </c>
      <c r="L70" s="75" t="s">
        <v>86</v>
      </c>
      <c r="M70" s="72" t="s">
        <v>86</v>
      </c>
      <c r="N70" s="72" t="s">
        <v>86</v>
      </c>
      <c r="O70" s="72" t="s">
        <v>86</v>
      </c>
      <c r="P70" s="73" t="s">
        <v>86</v>
      </c>
      <c r="Q70" s="323"/>
      <c r="R70" s="324"/>
      <c r="S70" s="324"/>
      <c r="T70" s="324"/>
      <c r="U70" s="324"/>
      <c r="V70" s="324"/>
      <c r="W70" s="324"/>
      <c r="X70" s="325"/>
    </row>
    <row r="71" spans="1:24" s="59" customFormat="1" x14ac:dyDescent="0.2">
      <c r="A71" s="98" t="s">
        <v>86</v>
      </c>
      <c r="B71" s="72" t="s">
        <v>86</v>
      </c>
      <c r="C71" s="77" t="s">
        <v>86</v>
      </c>
      <c r="D71" s="77" t="s">
        <v>86</v>
      </c>
      <c r="E71" s="44">
        <v>22683.78</v>
      </c>
      <c r="F71" s="109">
        <v>22683.780000000002</v>
      </c>
      <c r="G71" s="126" t="s">
        <v>86</v>
      </c>
      <c r="H71" s="132" t="s">
        <v>86</v>
      </c>
      <c r="I71" s="79" t="s">
        <v>86</v>
      </c>
      <c r="J71" s="82" t="s">
        <v>86</v>
      </c>
      <c r="K71" s="69">
        <v>5807.89</v>
      </c>
      <c r="L71" s="75" t="s">
        <v>86</v>
      </c>
      <c r="M71" s="72" t="s">
        <v>86</v>
      </c>
      <c r="N71" s="72" t="s">
        <v>86</v>
      </c>
      <c r="O71" s="72" t="s">
        <v>86</v>
      </c>
      <c r="P71" s="73" t="s">
        <v>86</v>
      </c>
      <c r="Q71" s="323"/>
      <c r="R71" s="324"/>
      <c r="S71" s="324"/>
      <c r="T71" s="324"/>
      <c r="U71" s="324"/>
      <c r="V71" s="324"/>
      <c r="W71" s="324"/>
      <c r="X71" s="325"/>
    </row>
    <row r="72" spans="1:24" s="59" customFormat="1" x14ac:dyDescent="0.2">
      <c r="A72" s="98" t="s">
        <v>86</v>
      </c>
      <c r="B72" s="72" t="s">
        <v>86</v>
      </c>
      <c r="C72" s="77" t="s">
        <v>86</v>
      </c>
      <c r="D72" s="77">
        <v>22697.53</v>
      </c>
      <c r="E72" s="44">
        <v>22415.58</v>
      </c>
      <c r="F72" s="109">
        <v>22415.58</v>
      </c>
      <c r="G72" s="126" t="s">
        <v>86</v>
      </c>
      <c r="H72" s="132" t="s">
        <v>86</v>
      </c>
      <c r="I72" s="79" t="s">
        <v>86</v>
      </c>
      <c r="J72" s="82">
        <v>5810</v>
      </c>
      <c r="K72" s="69">
        <v>5807.59</v>
      </c>
      <c r="L72" s="75" t="s">
        <v>86</v>
      </c>
      <c r="M72" s="72" t="s">
        <v>86</v>
      </c>
      <c r="N72" s="72" t="s">
        <v>86</v>
      </c>
      <c r="O72" s="72">
        <f t="shared" si="7"/>
        <v>-2.4099999999998545</v>
      </c>
      <c r="P72" s="73" t="s">
        <v>86</v>
      </c>
      <c r="Q72" s="323"/>
      <c r="R72" s="324"/>
      <c r="S72" s="324"/>
      <c r="T72" s="324"/>
      <c r="U72" s="324"/>
      <c r="V72" s="324"/>
      <c r="W72" s="324"/>
      <c r="X72" s="325"/>
    </row>
    <row r="73" spans="1:24" s="59" customFormat="1" x14ac:dyDescent="0.2">
      <c r="A73" s="98" t="s">
        <v>86</v>
      </c>
      <c r="B73" s="72" t="s">
        <v>86</v>
      </c>
      <c r="C73" s="77" t="s">
        <v>86</v>
      </c>
      <c r="D73" s="77">
        <v>22575.98</v>
      </c>
      <c r="E73" s="44">
        <v>22297.18</v>
      </c>
      <c r="F73" s="109">
        <v>22297.18</v>
      </c>
      <c r="G73" s="126" t="s">
        <v>86</v>
      </c>
      <c r="H73" s="132" t="s">
        <v>86</v>
      </c>
      <c r="I73" s="79" t="s">
        <v>86</v>
      </c>
      <c r="J73" s="82">
        <v>5808.84</v>
      </c>
      <c r="K73" s="69">
        <v>5806.37</v>
      </c>
      <c r="L73" s="75" t="s">
        <v>86</v>
      </c>
      <c r="M73" s="72" t="s">
        <v>86</v>
      </c>
      <c r="N73" s="72" t="s">
        <v>86</v>
      </c>
      <c r="O73" s="72">
        <f t="shared" si="7"/>
        <v>-2.4700000000002547</v>
      </c>
      <c r="P73" s="73" t="s">
        <v>86</v>
      </c>
      <c r="Q73" s="323"/>
      <c r="R73" s="324"/>
      <c r="S73" s="324"/>
      <c r="T73" s="324"/>
      <c r="U73" s="324"/>
      <c r="V73" s="324"/>
      <c r="W73" s="324"/>
      <c r="X73" s="325"/>
    </row>
    <row r="74" spans="1:24" s="59" customFormat="1" x14ac:dyDescent="0.2">
      <c r="A74" s="98" t="s">
        <v>86</v>
      </c>
      <c r="B74" s="72" t="s">
        <v>86</v>
      </c>
      <c r="C74" s="77" t="s">
        <v>86</v>
      </c>
      <c r="D74" s="77">
        <v>22522.080000000002</v>
      </c>
      <c r="E74" s="44">
        <v>22254.880000000001</v>
      </c>
      <c r="F74" s="109">
        <v>22254.880000000001</v>
      </c>
      <c r="G74" s="126" t="s">
        <v>86</v>
      </c>
      <c r="H74" s="132" t="s">
        <v>86</v>
      </c>
      <c r="I74" s="79" t="s">
        <v>86</v>
      </c>
      <c r="J74" s="82">
        <v>5808.27</v>
      </c>
      <c r="K74" s="69">
        <v>5803.59</v>
      </c>
      <c r="L74" s="78" t="s">
        <v>86</v>
      </c>
      <c r="M74" s="72" t="s">
        <v>86</v>
      </c>
      <c r="N74" s="72" t="s">
        <v>86</v>
      </c>
      <c r="O74" s="72">
        <f t="shared" si="7"/>
        <v>-4.680000000000291</v>
      </c>
      <c r="P74" s="73" t="s">
        <v>86</v>
      </c>
      <c r="Q74" s="323"/>
      <c r="R74" s="324"/>
      <c r="S74" s="324"/>
      <c r="T74" s="324"/>
      <c r="U74" s="324"/>
      <c r="V74" s="324"/>
      <c r="W74" s="324"/>
      <c r="X74" s="325"/>
    </row>
    <row r="75" spans="1:24" s="59" customFormat="1" x14ac:dyDescent="0.2">
      <c r="A75" s="98" t="s">
        <v>86</v>
      </c>
      <c r="B75" s="72" t="s">
        <v>86</v>
      </c>
      <c r="C75" s="77" t="s">
        <v>86</v>
      </c>
      <c r="D75" s="77">
        <v>22428.880000000001</v>
      </c>
      <c r="E75" s="44">
        <v>22159.98</v>
      </c>
      <c r="F75" s="109">
        <v>22159.98</v>
      </c>
      <c r="G75" s="126" t="s">
        <v>86</v>
      </c>
      <c r="H75" s="132" t="s">
        <v>86</v>
      </c>
      <c r="I75" s="79" t="s">
        <v>86</v>
      </c>
      <c r="J75" s="82">
        <v>5807.33</v>
      </c>
      <c r="K75" s="69">
        <v>5802.31</v>
      </c>
      <c r="L75" s="75" t="s">
        <v>86</v>
      </c>
      <c r="M75" s="72" t="s">
        <v>86</v>
      </c>
      <c r="N75" s="72" t="s">
        <v>86</v>
      </c>
      <c r="O75" s="72">
        <f t="shared" si="7"/>
        <v>-5.0199999999995271</v>
      </c>
      <c r="P75" s="73" t="s">
        <v>86</v>
      </c>
      <c r="Q75" s="323"/>
      <c r="R75" s="324"/>
      <c r="S75" s="324"/>
      <c r="T75" s="324"/>
      <c r="U75" s="324"/>
      <c r="V75" s="324"/>
      <c r="W75" s="324"/>
      <c r="X75" s="325"/>
    </row>
    <row r="76" spans="1:24" s="59" customFormat="1" x14ac:dyDescent="0.2">
      <c r="A76" s="98" t="s">
        <v>86</v>
      </c>
      <c r="B76" s="72" t="s">
        <v>86</v>
      </c>
      <c r="C76" s="77" t="s">
        <v>86</v>
      </c>
      <c r="D76" s="77">
        <v>22311.48</v>
      </c>
      <c r="E76" s="44">
        <v>22062.880000000001</v>
      </c>
      <c r="F76" s="109">
        <v>22062.880000000001</v>
      </c>
      <c r="G76" s="126" t="s">
        <v>86</v>
      </c>
      <c r="H76" s="132" t="s">
        <v>86</v>
      </c>
      <c r="I76" s="79" t="s">
        <v>86</v>
      </c>
      <c r="J76" s="82">
        <v>5805.64</v>
      </c>
      <c r="K76" s="69">
        <v>5801.24</v>
      </c>
      <c r="L76" s="75" t="s">
        <v>86</v>
      </c>
      <c r="M76" s="72" t="s">
        <v>86</v>
      </c>
      <c r="N76" s="72" t="s">
        <v>86</v>
      </c>
      <c r="O76" s="72">
        <f t="shared" si="7"/>
        <v>-4.4000000000005457</v>
      </c>
      <c r="P76" s="73" t="s">
        <v>86</v>
      </c>
      <c r="Q76" s="323"/>
      <c r="R76" s="324"/>
      <c r="S76" s="324"/>
      <c r="T76" s="324"/>
      <c r="U76" s="324"/>
      <c r="V76" s="324"/>
      <c r="W76" s="324"/>
      <c r="X76" s="325"/>
    </row>
    <row r="77" spans="1:24" s="59" customFormat="1" x14ac:dyDescent="0.2">
      <c r="A77" s="98" t="s">
        <v>86</v>
      </c>
      <c r="B77" s="72" t="s">
        <v>86</v>
      </c>
      <c r="C77" s="77" t="s">
        <v>86</v>
      </c>
      <c r="D77" s="77">
        <v>22274.880000000001</v>
      </c>
      <c r="E77" s="44">
        <v>22018.68</v>
      </c>
      <c r="F77" s="109">
        <v>22018.68</v>
      </c>
      <c r="G77" s="126" t="s">
        <v>86</v>
      </c>
      <c r="H77" s="132" t="s">
        <v>86</v>
      </c>
      <c r="I77" s="79" t="s">
        <v>86</v>
      </c>
      <c r="J77" s="82">
        <v>5804.52</v>
      </c>
      <c r="K77" s="69">
        <v>5798.43</v>
      </c>
      <c r="L77" s="75" t="s">
        <v>86</v>
      </c>
      <c r="M77" s="72" t="s">
        <v>86</v>
      </c>
      <c r="N77" s="72" t="s">
        <v>86</v>
      </c>
      <c r="O77" s="72">
        <f t="shared" si="7"/>
        <v>-6.0900000000001455</v>
      </c>
      <c r="P77" s="73" t="s">
        <v>86</v>
      </c>
      <c r="Q77" s="314"/>
      <c r="R77" s="315"/>
      <c r="S77" s="315"/>
      <c r="T77" s="315"/>
      <c r="U77" s="315"/>
      <c r="V77" s="315"/>
      <c r="W77" s="315"/>
      <c r="X77" s="316"/>
    </row>
    <row r="78" spans="1:24" s="59" customFormat="1" x14ac:dyDescent="0.2">
      <c r="A78" s="98" t="s">
        <v>86</v>
      </c>
      <c r="B78" s="72" t="s">
        <v>86</v>
      </c>
      <c r="C78" s="77" t="s">
        <v>86</v>
      </c>
      <c r="D78" s="77">
        <v>22104.080000000002</v>
      </c>
      <c r="E78" s="44">
        <v>21853.58</v>
      </c>
      <c r="F78" s="109">
        <v>21853.58</v>
      </c>
      <c r="G78" s="126" t="s">
        <v>86</v>
      </c>
      <c r="H78" s="132" t="s">
        <v>86</v>
      </c>
      <c r="I78" s="79" t="s">
        <v>86</v>
      </c>
      <c r="J78" s="82">
        <v>5802.98</v>
      </c>
      <c r="K78" s="69">
        <v>5797.46</v>
      </c>
      <c r="L78" s="75" t="s">
        <v>86</v>
      </c>
      <c r="M78" s="72" t="s">
        <v>86</v>
      </c>
      <c r="N78" s="72" t="s">
        <v>86</v>
      </c>
      <c r="O78" s="72">
        <f t="shared" si="7"/>
        <v>-5.5199999999995271</v>
      </c>
      <c r="P78" s="73" t="s">
        <v>86</v>
      </c>
      <c r="Q78" s="341"/>
      <c r="R78" s="342"/>
      <c r="S78" s="342"/>
      <c r="T78" s="342"/>
      <c r="U78" s="342"/>
      <c r="V78" s="342"/>
      <c r="W78" s="342"/>
      <c r="X78" s="343"/>
    </row>
    <row r="79" spans="1:24" x14ac:dyDescent="0.2">
      <c r="A79" s="215" t="s">
        <v>86</v>
      </c>
      <c r="B79" s="216" t="s">
        <v>86</v>
      </c>
      <c r="C79" s="77" t="s">
        <v>86</v>
      </c>
      <c r="D79" s="77">
        <v>21740.880000000001</v>
      </c>
      <c r="E79" s="137">
        <v>21584.28</v>
      </c>
      <c r="F79" s="109">
        <v>21584.280000000002</v>
      </c>
      <c r="G79" s="129" t="s">
        <v>86</v>
      </c>
      <c r="H79" s="132" t="s">
        <v>86</v>
      </c>
      <c r="I79" s="79" t="s">
        <v>86</v>
      </c>
      <c r="J79" s="81">
        <v>5800.86</v>
      </c>
      <c r="K79" s="73">
        <v>5795.67</v>
      </c>
      <c r="L79" s="75" t="s">
        <v>86</v>
      </c>
      <c r="M79" s="72" t="s">
        <v>86</v>
      </c>
      <c r="N79" s="72" t="s">
        <v>86</v>
      </c>
      <c r="O79" s="72">
        <f t="shared" si="7"/>
        <v>-5.1899999999995998</v>
      </c>
      <c r="P79" s="73" t="s">
        <v>86</v>
      </c>
      <c r="Q79" s="326"/>
      <c r="R79" s="327"/>
      <c r="S79" s="327"/>
      <c r="T79" s="327"/>
      <c r="U79" s="327"/>
      <c r="V79" s="327"/>
      <c r="W79" s="327"/>
      <c r="X79" s="328"/>
    </row>
    <row r="80" spans="1:24" x14ac:dyDescent="0.2">
      <c r="A80" s="99" t="s">
        <v>86</v>
      </c>
      <c r="B80" s="72" t="s">
        <v>86</v>
      </c>
      <c r="C80" s="77" t="s">
        <v>86</v>
      </c>
      <c r="D80" s="72">
        <v>21682.78</v>
      </c>
      <c r="E80" s="44">
        <v>21546.48</v>
      </c>
      <c r="F80" s="109">
        <v>21546.480000000003</v>
      </c>
      <c r="G80" s="129" t="s">
        <v>86</v>
      </c>
      <c r="H80" s="132" t="s">
        <v>86</v>
      </c>
      <c r="I80" s="79" t="s">
        <v>86</v>
      </c>
      <c r="J80" s="72">
        <v>5799.85</v>
      </c>
      <c r="K80" s="73">
        <v>5794.04</v>
      </c>
      <c r="L80" s="75" t="s">
        <v>86</v>
      </c>
      <c r="M80" s="72" t="s">
        <v>86</v>
      </c>
      <c r="N80" s="72" t="s">
        <v>86</v>
      </c>
      <c r="O80" s="72">
        <f t="shared" si="7"/>
        <v>-5.8100000000004002</v>
      </c>
      <c r="P80" s="73" t="s">
        <v>86</v>
      </c>
      <c r="Q80" s="329"/>
      <c r="R80" s="330"/>
      <c r="S80" s="330"/>
      <c r="T80" s="330"/>
      <c r="U80" s="330"/>
      <c r="V80" s="330"/>
      <c r="W80" s="330"/>
      <c r="X80" s="331"/>
    </row>
    <row r="81" spans="1:24" x14ac:dyDescent="0.2">
      <c r="A81" s="99" t="s">
        <v>86</v>
      </c>
      <c r="B81" s="72" t="s">
        <v>86</v>
      </c>
      <c r="C81" s="77" t="s">
        <v>86</v>
      </c>
      <c r="D81" s="72">
        <v>21430.080000000002</v>
      </c>
      <c r="E81" s="80">
        <v>21379.18</v>
      </c>
      <c r="F81" s="109">
        <v>21379.180000000004</v>
      </c>
      <c r="G81" s="129" t="s">
        <v>86</v>
      </c>
      <c r="H81" s="132" t="s">
        <v>86</v>
      </c>
      <c r="I81" s="79" t="s">
        <v>86</v>
      </c>
      <c r="J81" s="72">
        <v>5797.87</v>
      </c>
      <c r="K81" s="73">
        <v>5793.19</v>
      </c>
      <c r="L81" s="75" t="s">
        <v>86</v>
      </c>
      <c r="M81" s="72" t="s">
        <v>86</v>
      </c>
      <c r="N81" s="72" t="s">
        <v>86</v>
      </c>
      <c r="O81" s="72">
        <f t="shared" si="7"/>
        <v>-4.680000000000291</v>
      </c>
      <c r="P81" s="73" t="s">
        <v>86</v>
      </c>
      <c r="Q81" s="329"/>
      <c r="R81" s="330"/>
      <c r="S81" s="330"/>
      <c r="T81" s="330"/>
      <c r="U81" s="330"/>
      <c r="V81" s="330"/>
      <c r="W81" s="330"/>
      <c r="X81" s="331"/>
    </row>
    <row r="82" spans="1:24" x14ac:dyDescent="0.2">
      <c r="A82" s="215" t="s">
        <v>86</v>
      </c>
      <c r="B82" s="216" t="s">
        <v>86</v>
      </c>
      <c r="C82" s="77" t="s">
        <v>86</v>
      </c>
      <c r="D82" s="77">
        <v>21259.78</v>
      </c>
      <c r="E82" s="137">
        <v>21244.98</v>
      </c>
      <c r="F82" s="109">
        <v>21244.980000000003</v>
      </c>
      <c r="G82" s="129" t="s">
        <v>86</v>
      </c>
      <c r="H82" s="132" t="s">
        <v>86</v>
      </c>
      <c r="I82" s="79" t="s">
        <v>86</v>
      </c>
      <c r="J82" s="79">
        <v>5796.38</v>
      </c>
      <c r="K82" s="73">
        <v>5791.9</v>
      </c>
      <c r="L82" s="75" t="s">
        <v>86</v>
      </c>
      <c r="M82" s="72" t="s">
        <v>86</v>
      </c>
      <c r="N82" s="72" t="s">
        <v>86</v>
      </c>
      <c r="O82" s="72">
        <f t="shared" si="7"/>
        <v>-4.4800000000004729</v>
      </c>
      <c r="P82" s="73" t="s">
        <v>86</v>
      </c>
      <c r="Q82" s="329"/>
      <c r="R82" s="330"/>
      <c r="S82" s="330"/>
      <c r="T82" s="330"/>
      <c r="U82" s="330"/>
      <c r="V82" s="330"/>
      <c r="W82" s="330"/>
      <c r="X82" s="331"/>
    </row>
    <row r="83" spans="1:24" x14ac:dyDescent="0.2">
      <c r="A83" s="99" t="s">
        <v>86</v>
      </c>
      <c r="B83" s="72" t="s">
        <v>86</v>
      </c>
      <c r="C83" s="77" t="s">
        <v>86</v>
      </c>
      <c r="D83" s="77">
        <v>21215.48</v>
      </c>
      <c r="E83" s="44">
        <v>21208.28</v>
      </c>
      <c r="F83" s="109">
        <v>21208.280000000002</v>
      </c>
      <c r="G83" s="129" t="s">
        <v>86</v>
      </c>
      <c r="H83" s="132" t="s">
        <v>86</v>
      </c>
      <c r="I83" s="79" t="s">
        <v>86</v>
      </c>
      <c r="J83" s="81">
        <v>5795.88</v>
      </c>
      <c r="K83" s="73">
        <v>5790</v>
      </c>
      <c r="L83" s="75" t="s">
        <v>86</v>
      </c>
      <c r="M83" s="72" t="s">
        <v>86</v>
      </c>
      <c r="N83" s="72" t="s">
        <v>86</v>
      </c>
      <c r="O83" s="72">
        <f t="shared" si="7"/>
        <v>-5.8800000000001091</v>
      </c>
      <c r="P83" s="73" t="s">
        <v>86</v>
      </c>
      <c r="Q83" s="329"/>
      <c r="R83" s="330"/>
      <c r="S83" s="330"/>
      <c r="T83" s="330"/>
      <c r="U83" s="330"/>
      <c r="V83" s="330"/>
      <c r="W83" s="330"/>
      <c r="X83" s="331"/>
    </row>
    <row r="84" spans="1:24" x14ac:dyDescent="0.2">
      <c r="A84" s="99" t="s">
        <v>86</v>
      </c>
      <c r="B84" s="72" t="s">
        <v>86</v>
      </c>
      <c r="C84" s="77" t="s">
        <v>86</v>
      </c>
      <c r="D84" s="77">
        <v>20842.38</v>
      </c>
      <c r="E84" s="44">
        <v>20946.38</v>
      </c>
      <c r="F84" s="109">
        <v>20946.38</v>
      </c>
      <c r="G84" s="129" t="s">
        <v>86</v>
      </c>
      <c r="H84" s="132" t="s">
        <v>86</v>
      </c>
      <c r="I84" s="79" t="s">
        <v>86</v>
      </c>
      <c r="J84" s="81">
        <v>5793.81</v>
      </c>
      <c r="K84" s="73">
        <v>5789.01</v>
      </c>
      <c r="L84" s="75" t="s">
        <v>86</v>
      </c>
      <c r="M84" s="72" t="s">
        <v>86</v>
      </c>
      <c r="N84" s="72" t="s">
        <v>86</v>
      </c>
      <c r="O84" s="72">
        <f t="shared" si="7"/>
        <v>-4.8000000000001819</v>
      </c>
      <c r="P84" s="73" t="s">
        <v>86</v>
      </c>
      <c r="Q84" s="329"/>
      <c r="R84" s="330"/>
      <c r="S84" s="330"/>
      <c r="T84" s="330"/>
      <c r="U84" s="330"/>
      <c r="V84" s="330"/>
      <c r="W84" s="330"/>
      <c r="X84" s="331"/>
    </row>
    <row r="85" spans="1:24" x14ac:dyDescent="0.2">
      <c r="A85" s="215" t="s">
        <v>86</v>
      </c>
      <c r="B85" s="216" t="s">
        <v>86</v>
      </c>
      <c r="C85" s="77" t="s">
        <v>86</v>
      </c>
      <c r="D85" s="77">
        <v>20637.68</v>
      </c>
      <c r="E85" s="137">
        <v>20729.88</v>
      </c>
      <c r="F85" s="109">
        <v>20729.88</v>
      </c>
      <c r="G85" s="129" t="s">
        <v>86</v>
      </c>
      <c r="H85" s="132" t="s">
        <v>86</v>
      </c>
      <c r="I85" s="79" t="s">
        <v>86</v>
      </c>
      <c r="J85" s="81">
        <v>5791.46</v>
      </c>
      <c r="K85" s="73">
        <v>5787.38</v>
      </c>
      <c r="L85" s="75" t="s">
        <v>86</v>
      </c>
      <c r="M85" s="72" t="s">
        <v>86</v>
      </c>
      <c r="N85" s="72" t="s">
        <v>86</v>
      </c>
      <c r="O85" s="72">
        <f t="shared" si="7"/>
        <v>-4.0799999999999272</v>
      </c>
      <c r="P85" s="73" t="s">
        <v>86</v>
      </c>
      <c r="Q85" s="329"/>
      <c r="R85" s="330"/>
      <c r="S85" s="330"/>
      <c r="T85" s="330"/>
      <c r="U85" s="330"/>
      <c r="V85" s="330"/>
      <c r="W85" s="330"/>
      <c r="X85" s="331"/>
    </row>
    <row r="86" spans="1:24" x14ac:dyDescent="0.2">
      <c r="A86" s="99" t="s">
        <v>86</v>
      </c>
      <c r="B86" s="72" t="s">
        <v>86</v>
      </c>
      <c r="C86" s="77" t="s">
        <v>86</v>
      </c>
      <c r="D86" s="34">
        <v>20601.080000000002</v>
      </c>
      <c r="E86" s="44">
        <v>20692.78</v>
      </c>
      <c r="F86" s="109">
        <v>20692.780000000002</v>
      </c>
      <c r="G86" s="129" t="s">
        <v>86</v>
      </c>
      <c r="H86" s="132" t="s">
        <v>86</v>
      </c>
      <c r="I86" s="79" t="s">
        <v>86</v>
      </c>
      <c r="J86" s="81">
        <v>5791.23</v>
      </c>
      <c r="K86" s="73">
        <v>5785.35</v>
      </c>
      <c r="L86" s="75" t="s">
        <v>86</v>
      </c>
      <c r="M86" s="72" t="s">
        <v>86</v>
      </c>
      <c r="N86" s="72" t="s">
        <v>86</v>
      </c>
      <c r="O86" s="72">
        <f t="shared" si="7"/>
        <v>-5.8799999999991996</v>
      </c>
      <c r="P86" s="73" t="s">
        <v>86</v>
      </c>
      <c r="Q86" s="329"/>
      <c r="R86" s="330"/>
      <c r="S86" s="330"/>
      <c r="T86" s="330"/>
      <c r="U86" s="330"/>
      <c r="V86" s="330"/>
      <c r="W86" s="330"/>
      <c r="X86" s="331"/>
    </row>
    <row r="87" spans="1:24" x14ac:dyDescent="0.2">
      <c r="A87" s="101" t="s">
        <v>86</v>
      </c>
      <c r="B87" s="79" t="s">
        <v>86</v>
      </c>
      <c r="C87" s="77" t="s">
        <v>86</v>
      </c>
      <c r="D87" s="77">
        <v>20390.38</v>
      </c>
      <c r="E87" s="44">
        <v>20470.88</v>
      </c>
      <c r="F87" s="109">
        <v>20470.88</v>
      </c>
      <c r="G87" s="126" t="s">
        <v>86</v>
      </c>
      <c r="H87" s="206" t="s">
        <v>86</v>
      </c>
      <c r="I87" s="79" t="s">
        <v>86</v>
      </c>
      <c r="J87" s="82">
        <v>5789.71</v>
      </c>
      <c r="K87" s="69">
        <v>5784.33</v>
      </c>
      <c r="L87" s="75" t="s">
        <v>86</v>
      </c>
      <c r="M87" s="72" t="s">
        <v>86</v>
      </c>
      <c r="N87" s="72" t="s">
        <v>86</v>
      </c>
      <c r="O87" s="72">
        <f t="shared" si="7"/>
        <v>-5.3800000000001091</v>
      </c>
      <c r="P87" s="73" t="s">
        <v>86</v>
      </c>
      <c r="Q87" s="329"/>
      <c r="R87" s="330"/>
      <c r="S87" s="330"/>
      <c r="T87" s="330"/>
      <c r="U87" s="330"/>
      <c r="V87" s="330"/>
      <c r="W87" s="330"/>
      <c r="X87" s="331"/>
    </row>
    <row r="88" spans="1:24" x14ac:dyDescent="0.2">
      <c r="A88" s="63" t="s">
        <v>100</v>
      </c>
      <c r="B88" s="79">
        <v>20075.2</v>
      </c>
      <c r="C88" s="79">
        <v>20075.2</v>
      </c>
      <c r="D88" s="77">
        <v>20176.080000000002</v>
      </c>
      <c r="E88" s="44">
        <v>20247.28</v>
      </c>
      <c r="F88" s="109">
        <v>20247.280000000002</v>
      </c>
      <c r="G88" s="130">
        <v>5789.08</v>
      </c>
      <c r="H88" s="128">
        <v>5789.08</v>
      </c>
      <c r="I88" s="68">
        <v>5789.08</v>
      </c>
      <c r="J88" s="82">
        <v>5787.79</v>
      </c>
      <c r="K88" s="69">
        <v>5782.67</v>
      </c>
      <c r="L88" s="78">
        <f t="shared" ref="L88" si="8">H88-G88</f>
        <v>0</v>
      </c>
      <c r="M88" s="72">
        <f t="shared" ref="M88" si="9">I88-G88</f>
        <v>0</v>
      </c>
      <c r="N88" s="72">
        <v>0</v>
      </c>
      <c r="O88" s="72">
        <f t="shared" si="7"/>
        <v>-5.1199999999998909</v>
      </c>
      <c r="P88" s="73">
        <f t="shared" ref="P88:P106" si="10">K88-G88</f>
        <v>-6.4099999999998545</v>
      </c>
      <c r="Q88" s="329"/>
      <c r="R88" s="330"/>
      <c r="S88" s="330"/>
      <c r="T88" s="330"/>
      <c r="U88" s="330"/>
      <c r="V88" s="330"/>
      <c r="W88" s="330"/>
      <c r="X88" s="331"/>
    </row>
    <row r="89" spans="1:24" x14ac:dyDescent="0.2">
      <c r="A89" s="78" t="s">
        <v>86</v>
      </c>
      <c r="B89" s="79" t="s">
        <v>86</v>
      </c>
      <c r="C89" s="79" t="s">
        <v>86</v>
      </c>
      <c r="D89" s="77">
        <v>20137.28</v>
      </c>
      <c r="E89" s="44">
        <v>20207.28</v>
      </c>
      <c r="F89" s="109">
        <v>20207.280000000002</v>
      </c>
      <c r="G89" s="126" t="s">
        <v>86</v>
      </c>
      <c r="H89" s="128" t="s">
        <v>86</v>
      </c>
      <c r="I89" s="68" t="s">
        <v>86</v>
      </c>
      <c r="J89" s="82">
        <v>5787.48</v>
      </c>
      <c r="K89" s="69">
        <v>5780.55</v>
      </c>
      <c r="L89" s="75" t="s">
        <v>86</v>
      </c>
      <c r="M89" s="72" t="s">
        <v>86</v>
      </c>
      <c r="N89" s="72" t="s">
        <v>86</v>
      </c>
      <c r="O89" s="72">
        <f t="shared" si="7"/>
        <v>-6.9299999999993815</v>
      </c>
      <c r="P89" s="73" t="s">
        <v>86</v>
      </c>
      <c r="Q89" s="326"/>
      <c r="R89" s="327"/>
      <c r="S89" s="327"/>
      <c r="T89" s="327"/>
      <c r="U89" s="327"/>
      <c r="V89" s="327"/>
      <c r="W89" s="327"/>
      <c r="X89" s="328"/>
    </row>
    <row r="90" spans="1:24" x14ac:dyDescent="0.2">
      <c r="A90" s="78" t="s">
        <v>86</v>
      </c>
      <c r="B90" s="79" t="s">
        <v>86</v>
      </c>
      <c r="C90" s="79" t="s">
        <v>86</v>
      </c>
      <c r="D90" s="77">
        <v>19977.580000000002</v>
      </c>
      <c r="E90" s="44">
        <v>20045.580000000002</v>
      </c>
      <c r="F90" s="109">
        <v>20045.580000000002</v>
      </c>
      <c r="G90" s="126" t="s">
        <v>86</v>
      </c>
      <c r="H90" s="128" t="s">
        <v>86</v>
      </c>
      <c r="I90" s="68" t="s">
        <v>86</v>
      </c>
      <c r="J90" s="82">
        <v>5785.78</v>
      </c>
      <c r="K90" s="69">
        <v>5779.81</v>
      </c>
      <c r="L90" s="75" t="s">
        <v>86</v>
      </c>
      <c r="M90" s="72" t="s">
        <v>86</v>
      </c>
      <c r="N90" s="72" t="s">
        <v>86</v>
      </c>
      <c r="O90" s="72">
        <f t="shared" si="7"/>
        <v>-5.9699999999993452</v>
      </c>
      <c r="P90" s="73" t="s">
        <v>86</v>
      </c>
      <c r="Q90" s="326"/>
      <c r="R90" s="327"/>
      <c r="S90" s="327"/>
      <c r="T90" s="327"/>
      <c r="U90" s="327"/>
      <c r="V90" s="327"/>
      <c r="W90" s="327"/>
      <c r="X90" s="328"/>
    </row>
    <row r="91" spans="1:24" x14ac:dyDescent="0.2">
      <c r="A91" s="78" t="s">
        <v>86</v>
      </c>
      <c r="B91" s="79" t="s">
        <v>86</v>
      </c>
      <c r="C91" s="79" t="s">
        <v>86</v>
      </c>
      <c r="D91" s="77">
        <v>19729.080000000002</v>
      </c>
      <c r="E91" s="44">
        <v>19786.78</v>
      </c>
      <c r="F91" s="109">
        <v>19786.780000000002</v>
      </c>
      <c r="G91" s="126" t="s">
        <v>86</v>
      </c>
      <c r="H91" s="128" t="s">
        <v>86</v>
      </c>
      <c r="I91" s="68" t="s">
        <v>86</v>
      </c>
      <c r="J91" s="82">
        <v>5783.82</v>
      </c>
      <c r="K91" s="69">
        <v>5778</v>
      </c>
      <c r="L91" s="75" t="s">
        <v>86</v>
      </c>
      <c r="M91" s="72" t="s">
        <v>86</v>
      </c>
      <c r="N91" s="72" t="s">
        <v>86</v>
      </c>
      <c r="O91" s="72">
        <f t="shared" si="7"/>
        <v>-5.819999999999709</v>
      </c>
      <c r="P91" s="73" t="s">
        <v>86</v>
      </c>
      <c r="Q91" s="326"/>
      <c r="R91" s="327"/>
      <c r="S91" s="327"/>
      <c r="T91" s="327"/>
      <c r="U91" s="327"/>
      <c r="V91" s="327"/>
      <c r="W91" s="327"/>
      <c r="X91" s="328"/>
    </row>
    <row r="92" spans="1:24" x14ac:dyDescent="0.2">
      <c r="A92" s="78" t="s">
        <v>86</v>
      </c>
      <c r="B92" s="79" t="s">
        <v>86</v>
      </c>
      <c r="C92" s="79" t="s">
        <v>86</v>
      </c>
      <c r="D92" s="77">
        <v>19689.080000000002</v>
      </c>
      <c r="E92" s="44">
        <v>19746.080000000002</v>
      </c>
      <c r="F92" s="109">
        <v>19746.080000000002</v>
      </c>
      <c r="G92" s="126" t="s">
        <v>86</v>
      </c>
      <c r="H92" s="128" t="s">
        <v>86</v>
      </c>
      <c r="I92" s="68" t="s">
        <v>86</v>
      </c>
      <c r="J92" s="82">
        <v>5783.09</v>
      </c>
      <c r="K92" s="69">
        <v>5776.56</v>
      </c>
      <c r="L92" s="75" t="s">
        <v>86</v>
      </c>
      <c r="M92" s="72" t="s">
        <v>86</v>
      </c>
      <c r="N92" s="72" t="s">
        <v>86</v>
      </c>
      <c r="O92" s="72">
        <f t="shared" si="7"/>
        <v>-6.5299999999997453</v>
      </c>
      <c r="P92" s="73" t="s">
        <v>86</v>
      </c>
      <c r="Q92" s="326"/>
      <c r="R92" s="327"/>
      <c r="S92" s="327"/>
      <c r="T92" s="327"/>
      <c r="U92" s="327"/>
      <c r="V92" s="327"/>
      <c r="W92" s="327"/>
      <c r="X92" s="328"/>
    </row>
    <row r="93" spans="1:24" x14ac:dyDescent="0.2">
      <c r="A93" s="78" t="s">
        <v>86</v>
      </c>
      <c r="B93" s="79" t="s">
        <v>86</v>
      </c>
      <c r="C93" s="79" t="s">
        <v>86</v>
      </c>
      <c r="D93" s="77">
        <v>19573.580000000002</v>
      </c>
      <c r="E93" s="44">
        <v>19621.68</v>
      </c>
      <c r="F93" s="109">
        <v>19621.68</v>
      </c>
      <c r="G93" s="126" t="s">
        <v>86</v>
      </c>
      <c r="H93" s="128" t="s">
        <v>86</v>
      </c>
      <c r="I93" s="68" t="s">
        <v>86</v>
      </c>
      <c r="J93" s="82">
        <v>5779.68</v>
      </c>
      <c r="K93" s="69">
        <v>5776.16</v>
      </c>
      <c r="L93" s="75" t="s">
        <v>86</v>
      </c>
      <c r="M93" s="72" t="s">
        <v>86</v>
      </c>
      <c r="N93" s="72" t="s">
        <v>86</v>
      </c>
      <c r="O93" s="72">
        <f t="shared" si="7"/>
        <v>-3.5200000000004366</v>
      </c>
      <c r="P93" s="73" t="s">
        <v>86</v>
      </c>
      <c r="Q93" s="326"/>
      <c r="R93" s="327"/>
      <c r="S93" s="327"/>
      <c r="T93" s="327"/>
      <c r="U93" s="327"/>
      <c r="V93" s="327"/>
      <c r="W93" s="327"/>
      <c r="X93" s="328"/>
    </row>
    <row r="94" spans="1:24" x14ac:dyDescent="0.2">
      <c r="A94" s="78" t="s">
        <v>86</v>
      </c>
      <c r="B94" s="79" t="s">
        <v>86</v>
      </c>
      <c r="C94" s="79" t="s">
        <v>86</v>
      </c>
      <c r="D94" s="77">
        <v>19424.080000000002</v>
      </c>
      <c r="E94" s="44">
        <v>19474.28</v>
      </c>
      <c r="F94" s="109">
        <v>19474.28</v>
      </c>
      <c r="G94" s="126" t="s">
        <v>86</v>
      </c>
      <c r="H94" s="128" t="s">
        <v>86</v>
      </c>
      <c r="I94" s="68" t="s">
        <v>86</v>
      </c>
      <c r="J94" s="82">
        <v>5777.77</v>
      </c>
      <c r="K94" s="69">
        <v>5774.81</v>
      </c>
      <c r="L94" s="75" t="s">
        <v>86</v>
      </c>
      <c r="M94" s="72" t="s">
        <v>86</v>
      </c>
      <c r="N94" s="72" t="s">
        <v>86</v>
      </c>
      <c r="O94" s="72">
        <f t="shared" si="7"/>
        <v>-2.9600000000000364</v>
      </c>
      <c r="P94" s="73" t="s">
        <v>86</v>
      </c>
      <c r="Q94" s="326"/>
      <c r="R94" s="327"/>
      <c r="S94" s="327"/>
      <c r="T94" s="327"/>
      <c r="U94" s="327"/>
      <c r="V94" s="327"/>
      <c r="W94" s="327"/>
      <c r="X94" s="328"/>
    </row>
    <row r="95" spans="1:24" x14ac:dyDescent="0.2">
      <c r="A95" s="78" t="s">
        <v>86</v>
      </c>
      <c r="B95" s="79" t="s">
        <v>86</v>
      </c>
      <c r="C95" s="79" t="s">
        <v>86</v>
      </c>
      <c r="D95" s="77">
        <v>19390.48</v>
      </c>
      <c r="E95" s="44">
        <v>19441.580000000002</v>
      </c>
      <c r="F95" s="109">
        <v>19441.579999999998</v>
      </c>
      <c r="G95" s="126" t="s">
        <v>86</v>
      </c>
      <c r="H95" s="128" t="s">
        <v>86</v>
      </c>
      <c r="I95" s="68" t="s">
        <v>86</v>
      </c>
      <c r="J95" s="82">
        <v>5777.33</v>
      </c>
      <c r="K95" s="69">
        <v>5773.31</v>
      </c>
      <c r="L95" s="75" t="s">
        <v>86</v>
      </c>
      <c r="M95" s="72" t="s">
        <v>86</v>
      </c>
      <c r="N95" s="72" t="s">
        <v>86</v>
      </c>
      <c r="O95" s="72">
        <f t="shared" si="7"/>
        <v>-4.0199999999995271</v>
      </c>
      <c r="P95" s="73" t="s">
        <v>86</v>
      </c>
      <c r="Q95" s="326"/>
      <c r="R95" s="327"/>
      <c r="S95" s="327"/>
      <c r="T95" s="327"/>
      <c r="U95" s="327"/>
      <c r="V95" s="327"/>
      <c r="W95" s="327"/>
      <c r="X95" s="328"/>
    </row>
    <row r="96" spans="1:24" x14ac:dyDescent="0.2">
      <c r="A96" s="78" t="s">
        <v>86</v>
      </c>
      <c r="B96" s="79" t="s">
        <v>86</v>
      </c>
      <c r="C96" s="79" t="s">
        <v>86</v>
      </c>
      <c r="D96" s="77">
        <v>19127.18</v>
      </c>
      <c r="E96" s="44">
        <v>19190.28</v>
      </c>
      <c r="F96" s="109">
        <v>19190.28</v>
      </c>
      <c r="G96" s="126" t="s">
        <v>86</v>
      </c>
      <c r="H96" s="128" t="s">
        <v>86</v>
      </c>
      <c r="I96" s="68" t="s">
        <v>86</v>
      </c>
      <c r="J96" s="82">
        <v>5775.72</v>
      </c>
      <c r="K96" s="69">
        <v>5772.61</v>
      </c>
      <c r="L96" s="75" t="s">
        <v>86</v>
      </c>
      <c r="M96" s="72" t="s">
        <v>86</v>
      </c>
      <c r="N96" s="72" t="s">
        <v>86</v>
      </c>
      <c r="O96" s="72">
        <f t="shared" si="7"/>
        <v>-3.1100000000005821</v>
      </c>
      <c r="P96" s="73" t="s">
        <v>86</v>
      </c>
      <c r="Q96" s="326"/>
      <c r="R96" s="327"/>
      <c r="S96" s="327"/>
      <c r="T96" s="327"/>
      <c r="U96" s="327"/>
      <c r="V96" s="327"/>
      <c r="W96" s="327"/>
      <c r="X96" s="328"/>
    </row>
    <row r="97" spans="1:24" x14ac:dyDescent="0.2">
      <c r="A97" s="78" t="s">
        <v>86</v>
      </c>
      <c r="B97" s="79" t="s">
        <v>86</v>
      </c>
      <c r="C97" s="79" t="s">
        <v>86</v>
      </c>
      <c r="D97" s="77">
        <v>18825.68</v>
      </c>
      <c r="E97" s="44">
        <v>18893.98</v>
      </c>
      <c r="F97" s="109">
        <v>18893.98</v>
      </c>
      <c r="G97" s="126" t="s">
        <v>86</v>
      </c>
      <c r="H97" s="128" t="s">
        <v>86</v>
      </c>
      <c r="I97" s="68" t="s">
        <v>86</v>
      </c>
      <c r="J97" s="82">
        <v>5774.73</v>
      </c>
      <c r="K97" s="69">
        <v>5770.63</v>
      </c>
      <c r="L97" s="75" t="s">
        <v>86</v>
      </c>
      <c r="M97" s="72" t="s">
        <v>86</v>
      </c>
      <c r="N97" s="72" t="s">
        <v>86</v>
      </c>
      <c r="O97" s="72">
        <f t="shared" si="7"/>
        <v>-4.0999999999994543</v>
      </c>
      <c r="P97" s="73" t="s">
        <v>86</v>
      </c>
      <c r="Q97" s="326"/>
      <c r="R97" s="327"/>
      <c r="S97" s="327"/>
      <c r="T97" s="327"/>
      <c r="U97" s="327"/>
      <c r="V97" s="327"/>
      <c r="W97" s="327"/>
      <c r="X97" s="328"/>
    </row>
    <row r="98" spans="1:24" x14ac:dyDescent="0.2">
      <c r="A98" s="86" t="s">
        <v>107</v>
      </c>
      <c r="B98" s="79">
        <v>18775.2</v>
      </c>
      <c r="C98" s="79">
        <v>18775.2</v>
      </c>
      <c r="D98" s="77">
        <v>18793.38</v>
      </c>
      <c r="E98" s="44">
        <v>18861.580000000002</v>
      </c>
      <c r="F98" s="109">
        <v>18861.579999999998</v>
      </c>
      <c r="G98" s="126">
        <v>5775.42</v>
      </c>
      <c r="H98" s="181">
        <v>5775.3399999999992</v>
      </c>
      <c r="I98" s="68">
        <v>5775.35</v>
      </c>
      <c r="J98" s="82">
        <v>5774.39</v>
      </c>
      <c r="K98" s="69">
        <v>5768.8</v>
      </c>
      <c r="L98" s="75">
        <f t="shared" si="4"/>
        <v>-8.0000000000836735E-2</v>
      </c>
      <c r="M98" s="72">
        <f t="shared" ref="M98:M106" si="11">I98-G98</f>
        <v>-6.9999999999708962E-2</v>
      </c>
      <c r="N98" s="72">
        <f t="shared" ref="N98:N106" si="12">K98-I98</f>
        <v>-6.5500000000001819</v>
      </c>
      <c r="O98" s="72">
        <f t="shared" si="7"/>
        <v>-5.5900000000001455</v>
      </c>
      <c r="P98" s="73">
        <f t="shared" si="10"/>
        <v>-6.6199999999998909</v>
      </c>
      <c r="Q98" s="326"/>
      <c r="R98" s="327"/>
      <c r="S98" s="327"/>
      <c r="T98" s="327"/>
      <c r="U98" s="327"/>
      <c r="V98" s="327"/>
      <c r="W98" s="327"/>
      <c r="X98" s="328"/>
    </row>
    <row r="99" spans="1:24" x14ac:dyDescent="0.2">
      <c r="A99" s="78" t="s">
        <v>86</v>
      </c>
      <c r="B99" s="79" t="s">
        <v>86</v>
      </c>
      <c r="C99" s="79" t="s">
        <v>86</v>
      </c>
      <c r="D99" s="77">
        <v>18670.38</v>
      </c>
      <c r="E99" s="44">
        <v>18733.28</v>
      </c>
      <c r="F99" s="109">
        <v>18733.28</v>
      </c>
      <c r="G99" s="126" t="s">
        <v>86</v>
      </c>
      <c r="H99" s="132" t="s">
        <v>86</v>
      </c>
      <c r="I99" s="68" t="s">
        <v>86</v>
      </c>
      <c r="J99" s="82">
        <v>5772.21</v>
      </c>
      <c r="K99" s="69">
        <v>5767.86</v>
      </c>
      <c r="L99" s="75" t="s">
        <v>86</v>
      </c>
      <c r="M99" s="72" t="s">
        <v>86</v>
      </c>
      <c r="N99" s="72" t="s">
        <v>86</v>
      </c>
      <c r="O99" s="72">
        <f t="shared" si="7"/>
        <v>-4.3500000000003638</v>
      </c>
      <c r="P99" s="73" t="s">
        <v>86</v>
      </c>
      <c r="Q99" s="326"/>
      <c r="R99" s="327"/>
      <c r="S99" s="327"/>
      <c r="T99" s="327"/>
      <c r="U99" s="327"/>
      <c r="V99" s="327"/>
      <c r="W99" s="327"/>
      <c r="X99" s="328"/>
    </row>
    <row r="100" spans="1:24" x14ac:dyDescent="0.2">
      <c r="A100" s="78" t="s">
        <v>86</v>
      </c>
      <c r="B100" s="79" t="s">
        <v>86</v>
      </c>
      <c r="C100" s="79" t="s">
        <v>86</v>
      </c>
      <c r="D100" s="77">
        <v>18576.38</v>
      </c>
      <c r="E100" s="44">
        <v>18644.88</v>
      </c>
      <c r="F100" s="109">
        <v>18644.879999999997</v>
      </c>
      <c r="G100" s="126" t="s">
        <v>86</v>
      </c>
      <c r="H100" s="132" t="s">
        <v>86</v>
      </c>
      <c r="I100" s="68" t="s">
        <v>86</v>
      </c>
      <c r="J100" s="82">
        <v>5771.94</v>
      </c>
      <c r="K100" s="69">
        <v>5766.75</v>
      </c>
      <c r="L100" s="78" t="s">
        <v>86</v>
      </c>
      <c r="M100" s="72" t="s">
        <v>86</v>
      </c>
      <c r="N100" s="72" t="s">
        <v>86</v>
      </c>
      <c r="O100" s="72">
        <f t="shared" si="7"/>
        <v>-5.1899999999995998</v>
      </c>
      <c r="P100" s="73" t="s">
        <v>86</v>
      </c>
      <c r="Q100" s="326"/>
      <c r="R100" s="327"/>
      <c r="S100" s="327"/>
      <c r="T100" s="327"/>
      <c r="U100" s="327"/>
      <c r="V100" s="327"/>
      <c r="W100" s="327"/>
      <c r="X100" s="328"/>
    </row>
    <row r="101" spans="1:24" x14ac:dyDescent="0.2">
      <c r="A101" s="78" t="s">
        <v>86</v>
      </c>
      <c r="B101" s="79" t="s">
        <v>86</v>
      </c>
      <c r="C101" s="79" t="s">
        <v>86</v>
      </c>
      <c r="D101" s="77">
        <v>18533.48</v>
      </c>
      <c r="E101" s="44">
        <v>18603.78</v>
      </c>
      <c r="F101" s="109">
        <v>18603.78</v>
      </c>
      <c r="G101" s="126" t="s">
        <v>86</v>
      </c>
      <c r="H101" s="132" t="s">
        <v>86</v>
      </c>
      <c r="I101" s="68" t="s">
        <v>86</v>
      </c>
      <c r="J101" s="82">
        <v>5771.59</v>
      </c>
      <c r="K101" s="69">
        <v>5764.08</v>
      </c>
      <c r="L101" s="75" t="s">
        <v>86</v>
      </c>
      <c r="M101" s="72" t="s">
        <v>86</v>
      </c>
      <c r="N101" s="72" t="s">
        <v>86</v>
      </c>
      <c r="O101" s="72">
        <f t="shared" si="7"/>
        <v>-7.5100000000002183</v>
      </c>
      <c r="P101" s="73" t="s">
        <v>86</v>
      </c>
      <c r="Q101" s="326"/>
      <c r="R101" s="327"/>
      <c r="S101" s="327"/>
      <c r="T101" s="327"/>
      <c r="U101" s="327"/>
      <c r="V101" s="327"/>
      <c r="W101" s="327"/>
      <c r="X101" s="328"/>
    </row>
    <row r="102" spans="1:24" x14ac:dyDescent="0.2">
      <c r="A102" s="78" t="s">
        <v>86</v>
      </c>
      <c r="B102" s="79" t="s">
        <v>86</v>
      </c>
      <c r="C102" s="79" t="s">
        <v>86</v>
      </c>
      <c r="D102" s="77">
        <v>18248.68</v>
      </c>
      <c r="E102" s="44">
        <v>18296.68</v>
      </c>
      <c r="F102" s="109">
        <v>18296.68</v>
      </c>
      <c r="G102" s="126" t="s">
        <v>86</v>
      </c>
      <c r="H102" s="132" t="s">
        <v>86</v>
      </c>
      <c r="I102" s="68" t="s">
        <v>86</v>
      </c>
      <c r="J102" s="82">
        <v>5768.91</v>
      </c>
      <c r="K102" s="69">
        <v>5762.68</v>
      </c>
      <c r="L102" s="75" t="s">
        <v>86</v>
      </c>
      <c r="M102" s="72" t="s">
        <v>86</v>
      </c>
      <c r="N102" s="72" t="s">
        <v>86</v>
      </c>
      <c r="O102" s="72">
        <f t="shared" si="7"/>
        <v>-6.2299999999995634</v>
      </c>
      <c r="P102" s="73" t="s">
        <v>86</v>
      </c>
      <c r="Q102" s="326"/>
      <c r="R102" s="327"/>
      <c r="S102" s="327"/>
      <c r="T102" s="327"/>
      <c r="U102" s="327"/>
      <c r="V102" s="327"/>
      <c r="W102" s="327"/>
      <c r="X102" s="328"/>
    </row>
    <row r="103" spans="1:24" x14ac:dyDescent="0.2">
      <c r="A103" s="78" t="s">
        <v>86</v>
      </c>
      <c r="B103" s="79" t="s">
        <v>86</v>
      </c>
      <c r="C103" s="79" t="s">
        <v>86</v>
      </c>
      <c r="D103" s="77">
        <v>17882.580000000002</v>
      </c>
      <c r="E103" s="44">
        <v>17967.28</v>
      </c>
      <c r="F103" s="109">
        <v>17967.28</v>
      </c>
      <c r="G103" s="126" t="s">
        <v>86</v>
      </c>
      <c r="H103" s="132" t="s">
        <v>86</v>
      </c>
      <c r="I103" s="68" t="s">
        <v>86</v>
      </c>
      <c r="J103" s="82">
        <v>5766.06</v>
      </c>
      <c r="K103" s="69">
        <v>5760.63</v>
      </c>
      <c r="L103" s="75" t="s">
        <v>86</v>
      </c>
      <c r="M103" s="72" t="s">
        <v>86</v>
      </c>
      <c r="N103" s="72" t="s">
        <v>86</v>
      </c>
      <c r="O103" s="72">
        <f t="shared" si="7"/>
        <v>-5.430000000000291</v>
      </c>
      <c r="P103" s="73" t="s">
        <v>86</v>
      </c>
      <c r="Q103" s="326"/>
      <c r="R103" s="327"/>
      <c r="S103" s="327"/>
      <c r="T103" s="327"/>
      <c r="U103" s="327"/>
      <c r="V103" s="327"/>
      <c r="W103" s="327"/>
      <c r="X103" s="328"/>
    </row>
    <row r="104" spans="1:24" x14ac:dyDescent="0.2">
      <c r="A104" s="78" t="s">
        <v>86</v>
      </c>
      <c r="B104" s="79" t="s">
        <v>86</v>
      </c>
      <c r="C104" s="79" t="s">
        <v>86</v>
      </c>
      <c r="D104" s="77">
        <v>17829.28</v>
      </c>
      <c r="E104" s="44">
        <v>17924.18</v>
      </c>
      <c r="F104" s="109">
        <v>17924.18</v>
      </c>
      <c r="G104" s="126" t="s">
        <v>86</v>
      </c>
      <c r="H104" s="132" t="s">
        <v>86</v>
      </c>
      <c r="I104" s="68" t="s">
        <v>86</v>
      </c>
      <c r="J104" s="82">
        <v>5765.9</v>
      </c>
      <c r="K104" s="69">
        <v>5758.03</v>
      </c>
      <c r="L104" s="75" t="s">
        <v>86</v>
      </c>
      <c r="M104" s="72" t="s">
        <v>86</v>
      </c>
      <c r="N104" s="72" t="s">
        <v>86</v>
      </c>
      <c r="O104" s="72">
        <f t="shared" si="7"/>
        <v>-7.8699999999998909</v>
      </c>
      <c r="P104" s="73" t="s">
        <v>86</v>
      </c>
      <c r="Q104" s="326"/>
      <c r="R104" s="327"/>
      <c r="S104" s="327"/>
      <c r="T104" s="327"/>
      <c r="U104" s="327"/>
      <c r="V104" s="327"/>
      <c r="W104" s="327"/>
      <c r="X104" s="328"/>
    </row>
    <row r="105" spans="1:24" x14ac:dyDescent="0.2">
      <c r="A105" s="78" t="s">
        <v>86</v>
      </c>
      <c r="B105" s="79" t="s">
        <v>86</v>
      </c>
      <c r="C105" s="79" t="s">
        <v>86</v>
      </c>
      <c r="D105" s="77">
        <v>17546.18</v>
      </c>
      <c r="E105" s="44">
        <v>17652.080000000002</v>
      </c>
      <c r="F105" s="109">
        <v>17652.080000000002</v>
      </c>
      <c r="G105" s="126" t="s">
        <v>86</v>
      </c>
      <c r="H105" s="132" t="s">
        <v>86</v>
      </c>
      <c r="I105" s="68" t="s">
        <v>86</v>
      </c>
      <c r="J105" s="82">
        <v>5763.06</v>
      </c>
      <c r="K105" s="69">
        <v>5757.03</v>
      </c>
      <c r="L105" s="75" t="s">
        <v>86</v>
      </c>
      <c r="M105" s="72" t="s">
        <v>86</v>
      </c>
      <c r="N105" s="72" t="s">
        <v>86</v>
      </c>
      <c r="O105" s="72">
        <f t="shared" si="7"/>
        <v>-6.0300000000006548</v>
      </c>
      <c r="P105" s="73" t="s">
        <v>86</v>
      </c>
      <c r="Q105" s="326"/>
      <c r="R105" s="327"/>
      <c r="S105" s="327"/>
      <c r="T105" s="327"/>
      <c r="U105" s="327"/>
      <c r="V105" s="327"/>
      <c r="W105" s="327"/>
      <c r="X105" s="328"/>
    </row>
    <row r="106" spans="1:24" x14ac:dyDescent="0.2">
      <c r="A106" s="63" t="s">
        <v>101</v>
      </c>
      <c r="B106" s="79">
        <v>17395.2</v>
      </c>
      <c r="C106" s="79">
        <v>17395.2</v>
      </c>
      <c r="D106" s="77">
        <v>17321.88</v>
      </c>
      <c r="E106" s="44">
        <v>17408.18</v>
      </c>
      <c r="F106" s="109">
        <v>17408.18</v>
      </c>
      <c r="G106" s="126">
        <v>5763.5999999999995</v>
      </c>
      <c r="H106" s="181">
        <v>5763.2199999999993</v>
      </c>
      <c r="I106" s="68">
        <v>5763.23</v>
      </c>
      <c r="J106" s="82">
        <v>5760.94</v>
      </c>
      <c r="K106" s="69">
        <v>5756.26</v>
      </c>
      <c r="L106" s="75">
        <f t="shared" ref="L106" si="13">H106-G106</f>
        <v>-0.38000000000010914</v>
      </c>
      <c r="M106" s="72">
        <f t="shared" si="11"/>
        <v>-0.36999999999989086</v>
      </c>
      <c r="N106" s="72">
        <f t="shared" si="12"/>
        <v>-6.9699999999993452</v>
      </c>
      <c r="O106" s="72">
        <f t="shared" si="7"/>
        <v>-4.6799999999993815</v>
      </c>
      <c r="P106" s="73">
        <f t="shared" si="10"/>
        <v>-7.339999999999236</v>
      </c>
      <c r="Q106" s="326"/>
      <c r="R106" s="327"/>
      <c r="S106" s="327"/>
      <c r="T106" s="327"/>
      <c r="U106" s="327"/>
      <c r="V106" s="327"/>
      <c r="W106" s="327"/>
      <c r="X106" s="328"/>
    </row>
    <row r="107" spans="1:24" x14ac:dyDescent="0.2">
      <c r="A107" s="78" t="s">
        <v>86</v>
      </c>
      <c r="B107" s="79" t="s">
        <v>86</v>
      </c>
      <c r="C107" s="79" t="s">
        <v>86</v>
      </c>
      <c r="D107" s="77">
        <v>16989.18</v>
      </c>
      <c r="E107" s="44">
        <v>17066.48</v>
      </c>
      <c r="F107" s="109">
        <v>17066.48</v>
      </c>
      <c r="G107" s="78" t="s">
        <v>86</v>
      </c>
      <c r="H107" s="79" t="s">
        <v>86</v>
      </c>
      <c r="I107" s="68" t="s">
        <v>86</v>
      </c>
      <c r="J107" s="82">
        <v>5758.83</v>
      </c>
      <c r="K107" s="69">
        <v>5754</v>
      </c>
      <c r="L107" s="99" t="s">
        <v>86</v>
      </c>
      <c r="M107" s="72" t="s">
        <v>86</v>
      </c>
      <c r="N107" s="72" t="s">
        <v>86</v>
      </c>
      <c r="O107" s="72">
        <f t="shared" si="7"/>
        <v>-4.8299999999999272</v>
      </c>
      <c r="P107" s="73" t="s">
        <v>86</v>
      </c>
      <c r="Q107" s="326"/>
      <c r="R107" s="327"/>
      <c r="S107" s="327"/>
      <c r="T107" s="327"/>
      <c r="U107" s="327"/>
      <c r="V107" s="327"/>
      <c r="W107" s="327"/>
      <c r="X107" s="328"/>
    </row>
    <row r="108" spans="1:24" x14ac:dyDescent="0.2">
      <c r="A108" s="78" t="s">
        <v>86</v>
      </c>
      <c r="B108" s="79" t="s">
        <v>86</v>
      </c>
      <c r="C108" s="79" t="s">
        <v>86</v>
      </c>
      <c r="D108" s="77">
        <v>16951.88</v>
      </c>
      <c r="E108" s="44">
        <v>17028.48</v>
      </c>
      <c r="F108" s="109">
        <v>17028.48</v>
      </c>
      <c r="G108" s="78" t="s">
        <v>86</v>
      </c>
      <c r="H108" s="79" t="s">
        <v>86</v>
      </c>
      <c r="I108" s="68" t="s">
        <v>86</v>
      </c>
      <c r="J108" s="82">
        <v>5757.99</v>
      </c>
      <c r="K108" s="69">
        <v>5751.57</v>
      </c>
      <c r="L108" s="99" t="s">
        <v>86</v>
      </c>
      <c r="M108" s="72" t="s">
        <v>86</v>
      </c>
      <c r="N108" s="72" t="s">
        <v>86</v>
      </c>
      <c r="O108" s="72">
        <f t="shared" si="7"/>
        <v>-6.4200000000000728</v>
      </c>
      <c r="P108" s="73" t="s">
        <v>86</v>
      </c>
      <c r="Q108" s="326"/>
      <c r="R108" s="327"/>
      <c r="S108" s="327"/>
      <c r="T108" s="327"/>
      <c r="U108" s="327"/>
      <c r="V108" s="327"/>
      <c r="W108" s="327"/>
      <c r="X108" s="328"/>
    </row>
    <row r="109" spans="1:24" x14ac:dyDescent="0.2">
      <c r="A109" s="78" t="s">
        <v>86</v>
      </c>
      <c r="B109" s="79" t="s">
        <v>86</v>
      </c>
      <c r="C109" s="79" t="s">
        <v>86</v>
      </c>
      <c r="D109" s="77">
        <v>16614.98</v>
      </c>
      <c r="E109" s="44">
        <v>16688.080000000002</v>
      </c>
      <c r="F109" s="109">
        <v>16688.079999999998</v>
      </c>
      <c r="G109" s="78" t="s">
        <v>86</v>
      </c>
      <c r="H109" s="79" t="s">
        <v>86</v>
      </c>
      <c r="I109" s="68" t="s">
        <v>86</v>
      </c>
      <c r="J109" s="82">
        <v>5755.08</v>
      </c>
      <c r="K109" s="69">
        <v>5750.19</v>
      </c>
      <c r="L109" s="99" t="s">
        <v>86</v>
      </c>
      <c r="M109" s="72" t="s">
        <v>86</v>
      </c>
      <c r="N109" s="72" t="s">
        <v>86</v>
      </c>
      <c r="O109" s="72">
        <f t="shared" si="7"/>
        <v>-4.8900000000003274</v>
      </c>
      <c r="P109" s="73" t="s">
        <v>86</v>
      </c>
      <c r="Q109" s="326"/>
      <c r="R109" s="327"/>
      <c r="S109" s="327"/>
      <c r="T109" s="327"/>
      <c r="U109" s="327"/>
      <c r="V109" s="327"/>
      <c r="W109" s="327"/>
      <c r="X109" s="328"/>
    </row>
    <row r="110" spans="1:24" x14ac:dyDescent="0.2">
      <c r="A110" s="78" t="s">
        <v>86</v>
      </c>
      <c r="B110" s="79" t="s">
        <v>86</v>
      </c>
      <c r="C110" s="79" t="s">
        <v>86</v>
      </c>
      <c r="D110" s="77">
        <v>16356.58</v>
      </c>
      <c r="E110" s="44">
        <v>16440.580000000002</v>
      </c>
      <c r="F110" s="109">
        <v>16440.579999999998</v>
      </c>
      <c r="G110" s="78" t="s">
        <v>86</v>
      </c>
      <c r="H110" s="79" t="s">
        <v>86</v>
      </c>
      <c r="I110" s="68" t="s">
        <v>86</v>
      </c>
      <c r="J110" s="82">
        <v>5751.83</v>
      </c>
      <c r="K110" s="69">
        <v>5749.44</v>
      </c>
      <c r="L110" s="99" t="s">
        <v>86</v>
      </c>
      <c r="M110" s="72" t="s">
        <v>86</v>
      </c>
      <c r="N110" s="72" t="s">
        <v>86</v>
      </c>
      <c r="O110" s="72">
        <f t="shared" si="7"/>
        <v>-2.3900000000003274</v>
      </c>
      <c r="P110" s="73" t="s">
        <v>86</v>
      </c>
      <c r="Q110" s="326"/>
      <c r="R110" s="327"/>
      <c r="S110" s="327"/>
      <c r="T110" s="327"/>
      <c r="U110" s="327"/>
      <c r="V110" s="327"/>
      <c r="W110" s="327"/>
      <c r="X110" s="328"/>
    </row>
    <row r="111" spans="1:24" x14ac:dyDescent="0.2">
      <c r="A111" s="78" t="s">
        <v>86</v>
      </c>
      <c r="B111" s="79" t="s">
        <v>86</v>
      </c>
      <c r="C111" s="79" t="s">
        <v>86</v>
      </c>
      <c r="D111" s="77">
        <v>16120.08</v>
      </c>
      <c r="E111" s="44">
        <v>16211.38</v>
      </c>
      <c r="F111" s="109">
        <v>16211.379999999997</v>
      </c>
      <c r="G111" s="78" t="s">
        <v>86</v>
      </c>
      <c r="H111" s="79" t="s">
        <v>86</v>
      </c>
      <c r="I111" s="68" t="s">
        <v>86</v>
      </c>
      <c r="J111" s="82">
        <v>5750.31</v>
      </c>
      <c r="K111" s="69">
        <v>5747.56</v>
      </c>
      <c r="L111" s="99" t="s">
        <v>86</v>
      </c>
      <c r="M111" s="72" t="s">
        <v>86</v>
      </c>
      <c r="N111" s="72" t="s">
        <v>86</v>
      </c>
      <c r="O111" s="72">
        <f t="shared" si="7"/>
        <v>-2.75</v>
      </c>
      <c r="P111" s="73" t="s">
        <v>86</v>
      </c>
      <c r="Q111" s="326"/>
      <c r="R111" s="327"/>
      <c r="S111" s="327"/>
      <c r="T111" s="327"/>
      <c r="U111" s="327"/>
      <c r="V111" s="327"/>
      <c r="W111" s="327"/>
      <c r="X111" s="328"/>
    </row>
    <row r="112" spans="1:24" x14ac:dyDescent="0.2">
      <c r="A112" s="78" t="s">
        <v>86</v>
      </c>
      <c r="B112" s="79" t="s">
        <v>86</v>
      </c>
      <c r="C112" s="79" t="s">
        <v>86</v>
      </c>
      <c r="D112" s="77">
        <v>16081.88</v>
      </c>
      <c r="E112" s="44">
        <v>16176.48</v>
      </c>
      <c r="F112" s="109">
        <v>16176.479999999998</v>
      </c>
      <c r="G112" s="78" t="s">
        <v>86</v>
      </c>
      <c r="H112" s="79" t="s">
        <v>86</v>
      </c>
      <c r="I112" s="68" t="s">
        <v>86</v>
      </c>
      <c r="J112" s="82">
        <v>5749.31</v>
      </c>
      <c r="K112" s="69">
        <v>5745.84</v>
      </c>
      <c r="L112" s="99" t="s">
        <v>86</v>
      </c>
      <c r="M112" s="72" t="s">
        <v>86</v>
      </c>
      <c r="N112" s="72" t="s">
        <v>86</v>
      </c>
      <c r="O112" s="72">
        <f t="shared" si="7"/>
        <v>-3.4700000000002547</v>
      </c>
      <c r="P112" s="73" t="s">
        <v>86</v>
      </c>
      <c r="Q112" s="326"/>
      <c r="R112" s="327"/>
      <c r="S112" s="327"/>
      <c r="T112" s="327"/>
      <c r="U112" s="327"/>
      <c r="V112" s="327"/>
      <c r="W112" s="327"/>
      <c r="X112" s="328"/>
    </row>
    <row r="113" spans="1:24" x14ac:dyDescent="0.2">
      <c r="A113" s="78" t="s">
        <v>86</v>
      </c>
      <c r="B113" s="79" t="s">
        <v>86</v>
      </c>
      <c r="C113" s="79" t="s">
        <v>86</v>
      </c>
      <c r="D113" s="77">
        <v>15807.98</v>
      </c>
      <c r="E113" s="44" t="s">
        <v>86</v>
      </c>
      <c r="F113" s="212" t="s">
        <v>86</v>
      </c>
      <c r="G113" s="78" t="s">
        <v>86</v>
      </c>
      <c r="H113" s="79" t="s">
        <v>86</v>
      </c>
      <c r="I113" s="68" t="s">
        <v>86</v>
      </c>
      <c r="J113" s="82">
        <v>5745.86</v>
      </c>
      <c r="K113" s="69" t="s">
        <v>86</v>
      </c>
      <c r="L113" s="98" t="s">
        <v>86</v>
      </c>
      <c r="M113" s="72" t="s">
        <v>86</v>
      </c>
      <c r="N113" s="72" t="s">
        <v>86</v>
      </c>
      <c r="O113" s="72" t="s">
        <v>86</v>
      </c>
      <c r="P113" s="73" t="s">
        <v>86</v>
      </c>
      <c r="Q113" s="326"/>
      <c r="R113" s="327"/>
      <c r="S113" s="327"/>
      <c r="T113" s="327"/>
      <c r="U113" s="327"/>
      <c r="V113" s="327"/>
      <c r="W113" s="327"/>
      <c r="X113" s="328"/>
    </row>
    <row r="114" spans="1:24" x14ac:dyDescent="0.2">
      <c r="A114" s="78" t="s">
        <v>86</v>
      </c>
      <c r="B114" s="79" t="s">
        <v>86</v>
      </c>
      <c r="C114" s="79" t="s">
        <v>86</v>
      </c>
      <c r="D114" s="77">
        <v>15643.78</v>
      </c>
      <c r="E114" s="44" t="s">
        <v>86</v>
      </c>
      <c r="F114" s="212" t="s">
        <v>86</v>
      </c>
      <c r="G114" s="78" t="s">
        <v>86</v>
      </c>
      <c r="H114" s="79" t="s">
        <v>86</v>
      </c>
      <c r="I114" s="68" t="s">
        <v>86</v>
      </c>
      <c r="J114" s="82">
        <v>5743.83</v>
      </c>
      <c r="K114" s="69" t="s">
        <v>86</v>
      </c>
      <c r="L114" s="99" t="s">
        <v>86</v>
      </c>
      <c r="M114" s="72" t="s">
        <v>86</v>
      </c>
      <c r="N114" s="72" t="s">
        <v>86</v>
      </c>
      <c r="O114" s="72" t="s">
        <v>86</v>
      </c>
      <c r="P114" s="73" t="s">
        <v>86</v>
      </c>
      <c r="Q114" s="326"/>
      <c r="R114" s="327"/>
      <c r="S114" s="327"/>
      <c r="T114" s="327"/>
      <c r="U114" s="327"/>
      <c r="V114" s="327"/>
      <c r="W114" s="327"/>
      <c r="X114" s="328"/>
    </row>
    <row r="115" spans="1:24" x14ac:dyDescent="0.2">
      <c r="A115" s="78" t="s">
        <v>86</v>
      </c>
      <c r="B115" s="79" t="s">
        <v>86</v>
      </c>
      <c r="C115" s="79" t="s">
        <v>86</v>
      </c>
      <c r="D115" s="77">
        <v>15466.78</v>
      </c>
      <c r="E115" s="44" t="s">
        <v>86</v>
      </c>
      <c r="F115" s="212" t="s">
        <v>86</v>
      </c>
      <c r="G115" s="78" t="s">
        <v>86</v>
      </c>
      <c r="H115" s="79" t="s">
        <v>86</v>
      </c>
      <c r="I115" s="68" t="s">
        <v>86</v>
      </c>
      <c r="J115" s="82">
        <v>5743.36</v>
      </c>
      <c r="K115" s="69" t="s">
        <v>86</v>
      </c>
      <c r="L115" s="99" t="s">
        <v>86</v>
      </c>
      <c r="M115" s="72" t="s">
        <v>86</v>
      </c>
      <c r="N115" s="72" t="s">
        <v>86</v>
      </c>
      <c r="O115" s="72" t="s">
        <v>86</v>
      </c>
      <c r="P115" s="73" t="s">
        <v>86</v>
      </c>
      <c r="Q115" s="326"/>
      <c r="R115" s="327"/>
      <c r="S115" s="327"/>
      <c r="T115" s="327"/>
      <c r="U115" s="327"/>
      <c r="V115" s="327"/>
      <c r="W115" s="327"/>
      <c r="X115" s="328"/>
    </row>
    <row r="116" spans="1:24" x14ac:dyDescent="0.2">
      <c r="A116" s="78" t="s">
        <v>86</v>
      </c>
      <c r="B116" s="79" t="s">
        <v>86</v>
      </c>
      <c r="C116" s="79" t="s">
        <v>86</v>
      </c>
      <c r="D116" s="77">
        <v>15441.28</v>
      </c>
      <c r="E116" s="44" t="s">
        <v>86</v>
      </c>
      <c r="F116" s="212" t="s">
        <v>86</v>
      </c>
      <c r="G116" s="78" t="s">
        <v>86</v>
      </c>
      <c r="H116" s="79" t="s">
        <v>86</v>
      </c>
      <c r="I116" s="68" t="s">
        <v>86</v>
      </c>
      <c r="J116" s="82">
        <v>5743.32</v>
      </c>
      <c r="K116" s="69" t="s">
        <v>86</v>
      </c>
      <c r="L116" s="99" t="s">
        <v>86</v>
      </c>
      <c r="M116" s="72" t="s">
        <v>86</v>
      </c>
      <c r="N116" s="72" t="s">
        <v>86</v>
      </c>
      <c r="O116" s="72" t="s">
        <v>86</v>
      </c>
      <c r="P116" s="73" t="s">
        <v>86</v>
      </c>
      <c r="Q116" s="326"/>
      <c r="R116" s="327"/>
      <c r="S116" s="327"/>
      <c r="T116" s="327"/>
      <c r="U116" s="327"/>
      <c r="V116" s="327"/>
      <c r="W116" s="327"/>
      <c r="X116" s="328"/>
    </row>
    <row r="117" spans="1:24" x14ac:dyDescent="0.2">
      <c r="A117" s="78" t="s">
        <v>86</v>
      </c>
      <c r="B117" s="79" t="s">
        <v>86</v>
      </c>
      <c r="C117" s="79" t="s">
        <v>86</v>
      </c>
      <c r="D117" s="77">
        <v>9325.18</v>
      </c>
      <c r="E117" s="44" t="s">
        <v>86</v>
      </c>
      <c r="F117" s="212" t="s">
        <v>86</v>
      </c>
      <c r="G117" s="78" t="s">
        <v>86</v>
      </c>
      <c r="H117" s="79" t="s">
        <v>86</v>
      </c>
      <c r="I117" s="68" t="s">
        <v>86</v>
      </c>
      <c r="J117" s="82" t="s">
        <v>86</v>
      </c>
      <c r="K117" s="69" t="s">
        <v>86</v>
      </c>
      <c r="L117" s="99" t="s">
        <v>86</v>
      </c>
      <c r="M117" s="72" t="s">
        <v>86</v>
      </c>
      <c r="N117" s="72" t="s">
        <v>86</v>
      </c>
      <c r="O117" s="72" t="s">
        <v>86</v>
      </c>
      <c r="P117" s="73" t="s">
        <v>86</v>
      </c>
      <c r="Q117" s="326"/>
      <c r="R117" s="327"/>
      <c r="S117" s="327"/>
      <c r="T117" s="327"/>
      <c r="U117" s="327"/>
      <c r="V117" s="327"/>
      <c r="W117" s="327"/>
      <c r="X117" s="328"/>
    </row>
    <row r="118" spans="1:24" x14ac:dyDescent="0.2">
      <c r="A118" s="78" t="s">
        <v>86</v>
      </c>
      <c r="B118" s="79" t="s">
        <v>86</v>
      </c>
      <c r="C118" s="79" t="s">
        <v>86</v>
      </c>
      <c r="D118" s="77">
        <v>9165.18</v>
      </c>
      <c r="E118" s="44" t="s">
        <v>86</v>
      </c>
      <c r="F118" s="212" t="s">
        <v>86</v>
      </c>
      <c r="G118" s="78" t="s">
        <v>86</v>
      </c>
      <c r="H118" s="79" t="s">
        <v>86</v>
      </c>
      <c r="I118" s="68" t="s">
        <v>86</v>
      </c>
      <c r="J118" s="82" t="s">
        <v>86</v>
      </c>
      <c r="K118" s="69" t="s">
        <v>86</v>
      </c>
      <c r="L118" s="99" t="s">
        <v>86</v>
      </c>
      <c r="M118" s="72" t="s">
        <v>86</v>
      </c>
      <c r="N118" s="72" t="s">
        <v>86</v>
      </c>
      <c r="O118" s="72" t="s">
        <v>86</v>
      </c>
      <c r="P118" s="73" t="s">
        <v>86</v>
      </c>
      <c r="Q118" s="326"/>
      <c r="R118" s="327"/>
      <c r="S118" s="327"/>
      <c r="T118" s="327"/>
      <c r="U118" s="327"/>
      <c r="V118" s="327"/>
      <c r="W118" s="327"/>
      <c r="X118" s="328"/>
    </row>
    <row r="119" spans="1:24" x14ac:dyDescent="0.2">
      <c r="A119" s="78" t="s">
        <v>86</v>
      </c>
      <c r="B119" s="79" t="s">
        <v>86</v>
      </c>
      <c r="C119" s="79" t="s">
        <v>86</v>
      </c>
      <c r="D119" s="77">
        <v>8536.58</v>
      </c>
      <c r="E119" s="44" t="s">
        <v>86</v>
      </c>
      <c r="F119" s="212" t="s">
        <v>86</v>
      </c>
      <c r="G119" s="78" t="s">
        <v>86</v>
      </c>
      <c r="H119" s="79" t="s">
        <v>86</v>
      </c>
      <c r="I119" s="68" t="s">
        <v>86</v>
      </c>
      <c r="J119" s="82" t="s">
        <v>86</v>
      </c>
      <c r="K119" s="69" t="s">
        <v>86</v>
      </c>
      <c r="L119" s="99" t="s">
        <v>86</v>
      </c>
      <c r="M119" s="72" t="s">
        <v>86</v>
      </c>
      <c r="N119" s="72" t="s">
        <v>86</v>
      </c>
      <c r="O119" s="72" t="s">
        <v>86</v>
      </c>
      <c r="P119" s="73" t="s">
        <v>86</v>
      </c>
      <c r="Q119" s="326"/>
      <c r="R119" s="327"/>
      <c r="S119" s="327"/>
      <c r="T119" s="327"/>
      <c r="U119" s="327"/>
      <c r="V119" s="327"/>
      <c r="W119" s="327"/>
      <c r="X119" s="328"/>
    </row>
    <row r="120" spans="1:24" x14ac:dyDescent="0.2">
      <c r="A120" s="78" t="s">
        <v>86</v>
      </c>
      <c r="B120" s="79" t="s">
        <v>86</v>
      </c>
      <c r="C120" s="79" t="s">
        <v>86</v>
      </c>
      <c r="D120" s="77">
        <v>8247.18</v>
      </c>
      <c r="E120" s="44" t="s">
        <v>86</v>
      </c>
      <c r="F120" s="212" t="s">
        <v>86</v>
      </c>
      <c r="G120" s="78" t="s">
        <v>86</v>
      </c>
      <c r="H120" s="79" t="s">
        <v>86</v>
      </c>
      <c r="I120" s="68" t="s">
        <v>86</v>
      </c>
      <c r="J120" s="82" t="s">
        <v>86</v>
      </c>
      <c r="K120" s="69" t="s">
        <v>86</v>
      </c>
      <c r="L120" s="99" t="s">
        <v>86</v>
      </c>
      <c r="M120" s="72" t="s">
        <v>86</v>
      </c>
      <c r="N120" s="72" t="s">
        <v>86</v>
      </c>
      <c r="O120" s="72" t="s">
        <v>86</v>
      </c>
      <c r="P120" s="73" t="s">
        <v>86</v>
      </c>
      <c r="Q120" s="326"/>
      <c r="R120" s="327"/>
      <c r="S120" s="327"/>
      <c r="T120" s="327"/>
      <c r="U120" s="327"/>
      <c r="V120" s="327"/>
      <c r="W120" s="327"/>
      <c r="X120" s="328"/>
    </row>
    <row r="121" spans="1:24" x14ac:dyDescent="0.2">
      <c r="A121" s="78" t="s">
        <v>86</v>
      </c>
      <c r="B121" s="79" t="s">
        <v>86</v>
      </c>
      <c r="C121" s="79" t="s">
        <v>86</v>
      </c>
      <c r="D121" s="77">
        <v>8010.58</v>
      </c>
      <c r="E121" s="44" t="s">
        <v>86</v>
      </c>
      <c r="F121" s="212" t="s">
        <v>86</v>
      </c>
      <c r="G121" s="78" t="s">
        <v>86</v>
      </c>
      <c r="H121" s="79" t="s">
        <v>86</v>
      </c>
      <c r="I121" s="68" t="s">
        <v>86</v>
      </c>
      <c r="J121" s="82" t="s">
        <v>86</v>
      </c>
      <c r="K121" s="69" t="s">
        <v>86</v>
      </c>
      <c r="L121" s="99" t="s">
        <v>86</v>
      </c>
      <c r="M121" s="72" t="s">
        <v>86</v>
      </c>
      <c r="N121" s="72" t="s">
        <v>86</v>
      </c>
      <c r="O121" s="72" t="s">
        <v>86</v>
      </c>
      <c r="P121" s="73" t="s">
        <v>86</v>
      </c>
      <c r="Q121" s="326"/>
      <c r="R121" s="327"/>
      <c r="S121" s="327"/>
      <c r="T121" s="327"/>
      <c r="U121" s="327"/>
      <c r="V121" s="327"/>
      <c r="W121" s="327"/>
      <c r="X121" s="328"/>
    </row>
    <row r="122" spans="1:24" x14ac:dyDescent="0.2">
      <c r="A122" s="78" t="s">
        <v>86</v>
      </c>
      <c r="B122" s="79" t="s">
        <v>86</v>
      </c>
      <c r="C122" s="79" t="s">
        <v>86</v>
      </c>
      <c r="D122" s="77">
        <v>7739.48</v>
      </c>
      <c r="E122" s="44" t="s">
        <v>86</v>
      </c>
      <c r="F122" s="212" t="s">
        <v>86</v>
      </c>
      <c r="G122" s="78" t="s">
        <v>86</v>
      </c>
      <c r="H122" s="79" t="s">
        <v>86</v>
      </c>
      <c r="I122" s="68" t="s">
        <v>86</v>
      </c>
      <c r="J122" s="82" t="s">
        <v>86</v>
      </c>
      <c r="K122" s="69" t="s">
        <v>86</v>
      </c>
      <c r="L122" s="99" t="s">
        <v>86</v>
      </c>
      <c r="M122" s="72" t="s">
        <v>86</v>
      </c>
      <c r="N122" s="72" t="s">
        <v>86</v>
      </c>
      <c r="O122" s="72" t="s">
        <v>86</v>
      </c>
      <c r="P122" s="73" t="s">
        <v>86</v>
      </c>
      <c r="Q122" s="326"/>
      <c r="R122" s="327"/>
      <c r="S122" s="327"/>
      <c r="T122" s="327"/>
      <c r="U122" s="327"/>
      <c r="V122" s="327"/>
      <c r="W122" s="327"/>
      <c r="X122" s="328"/>
    </row>
    <row r="123" spans="1:24" x14ac:dyDescent="0.2">
      <c r="A123" s="78" t="s">
        <v>86</v>
      </c>
      <c r="B123" s="79" t="s">
        <v>86</v>
      </c>
      <c r="C123" s="79" t="s">
        <v>86</v>
      </c>
      <c r="D123" s="77">
        <v>7381.68</v>
      </c>
      <c r="E123" s="44" t="s">
        <v>86</v>
      </c>
      <c r="F123" s="212" t="s">
        <v>86</v>
      </c>
      <c r="G123" s="78" t="s">
        <v>86</v>
      </c>
      <c r="H123" s="79" t="s">
        <v>86</v>
      </c>
      <c r="I123" s="68" t="s">
        <v>86</v>
      </c>
      <c r="J123" s="82" t="s">
        <v>86</v>
      </c>
      <c r="K123" s="69" t="s">
        <v>86</v>
      </c>
      <c r="L123" s="99" t="s">
        <v>86</v>
      </c>
      <c r="M123" s="72" t="s">
        <v>86</v>
      </c>
      <c r="N123" s="72" t="s">
        <v>86</v>
      </c>
      <c r="O123" s="72" t="s">
        <v>86</v>
      </c>
      <c r="P123" s="73" t="s">
        <v>86</v>
      </c>
      <c r="Q123" s="326"/>
      <c r="R123" s="327"/>
      <c r="S123" s="327"/>
      <c r="T123" s="327"/>
      <c r="U123" s="327"/>
      <c r="V123" s="327"/>
      <c r="W123" s="327"/>
      <c r="X123" s="328"/>
    </row>
    <row r="124" spans="1:24" x14ac:dyDescent="0.2">
      <c r="A124" s="78" t="s">
        <v>86</v>
      </c>
      <c r="B124" s="79" t="s">
        <v>86</v>
      </c>
      <c r="C124" s="79" t="s">
        <v>86</v>
      </c>
      <c r="D124" s="77">
        <v>6577.91</v>
      </c>
      <c r="E124" s="44" t="s">
        <v>86</v>
      </c>
      <c r="F124" s="212" t="s">
        <v>86</v>
      </c>
      <c r="G124" s="78" t="s">
        <v>86</v>
      </c>
      <c r="H124" s="79" t="s">
        <v>86</v>
      </c>
      <c r="I124" s="68" t="s">
        <v>86</v>
      </c>
      <c r="J124" s="82" t="s">
        <v>86</v>
      </c>
      <c r="K124" s="69" t="s">
        <v>86</v>
      </c>
      <c r="L124" s="99" t="s">
        <v>86</v>
      </c>
      <c r="M124" s="72" t="s">
        <v>86</v>
      </c>
      <c r="N124" s="72" t="s">
        <v>86</v>
      </c>
      <c r="O124" s="72" t="s">
        <v>86</v>
      </c>
      <c r="P124" s="73" t="s">
        <v>86</v>
      </c>
      <c r="Q124" s="326"/>
      <c r="R124" s="327"/>
      <c r="S124" s="327"/>
      <c r="T124" s="327"/>
      <c r="U124" s="327"/>
      <c r="V124" s="327"/>
      <c r="W124" s="327"/>
      <c r="X124" s="328"/>
    </row>
    <row r="125" spans="1:24" x14ac:dyDescent="0.2">
      <c r="A125" s="78" t="s">
        <v>86</v>
      </c>
      <c r="B125" s="79" t="s">
        <v>86</v>
      </c>
      <c r="C125" s="79" t="s">
        <v>86</v>
      </c>
      <c r="D125" s="77">
        <v>6225.71</v>
      </c>
      <c r="E125" s="44" t="s">
        <v>86</v>
      </c>
      <c r="F125" s="212" t="s">
        <v>86</v>
      </c>
      <c r="G125" s="78" t="s">
        <v>86</v>
      </c>
      <c r="H125" s="79" t="s">
        <v>86</v>
      </c>
      <c r="I125" s="68" t="s">
        <v>86</v>
      </c>
      <c r="J125" s="82" t="s">
        <v>86</v>
      </c>
      <c r="K125" s="69" t="s">
        <v>86</v>
      </c>
      <c r="L125" s="99" t="s">
        <v>86</v>
      </c>
      <c r="M125" s="72" t="s">
        <v>86</v>
      </c>
      <c r="N125" s="72" t="s">
        <v>86</v>
      </c>
      <c r="O125" s="72" t="s">
        <v>86</v>
      </c>
      <c r="P125" s="73" t="s">
        <v>86</v>
      </c>
      <c r="Q125" s="326"/>
      <c r="R125" s="327"/>
      <c r="S125" s="327"/>
      <c r="T125" s="327"/>
      <c r="U125" s="327"/>
      <c r="V125" s="327"/>
      <c r="W125" s="327"/>
      <c r="X125" s="328"/>
    </row>
    <row r="126" spans="1:24" x14ac:dyDescent="0.2">
      <c r="A126" s="78" t="s">
        <v>86</v>
      </c>
      <c r="B126" s="79" t="s">
        <v>86</v>
      </c>
      <c r="C126" s="79" t="s">
        <v>86</v>
      </c>
      <c r="D126" s="77">
        <v>5569.11</v>
      </c>
      <c r="E126" s="44" t="s">
        <v>86</v>
      </c>
      <c r="F126" s="212" t="s">
        <v>86</v>
      </c>
      <c r="G126" s="78" t="s">
        <v>86</v>
      </c>
      <c r="H126" s="79" t="s">
        <v>86</v>
      </c>
      <c r="I126" s="68" t="s">
        <v>86</v>
      </c>
      <c r="J126" s="82" t="s">
        <v>86</v>
      </c>
      <c r="K126" s="69" t="s">
        <v>86</v>
      </c>
      <c r="L126" s="98" t="s">
        <v>86</v>
      </c>
      <c r="M126" s="72" t="s">
        <v>86</v>
      </c>
      <c r="N126" s="72" t="s">
        <v>86</v>
      </c>
      <c r="O126" s="72" t="s">
        <v>86</v>
      </c>
      <c r="P126" s="73" t="s">
        <v>86</v>
      </c>
      <c r="Q126" s="326"/>
      <c r="R126" s="327"/>
      <c r="S126" s="327"/>
      <c r="T126" s="327"/>
      <c r="U126" s="327"/>
      <c r="V126" s="327"/>
      <c r="W126" s="327"/>
      <c r="X126" s="328"/>
    </row>
    <row r="127" spans="1:24" x14ac:dyDescent="0.2">
      <c r="A127" s="78" t="s">
        <v>86</v>
      </c>
      <c r="B127" s="79" t="s">
        <v>86</v>
      </c>
      <c r="C127" s="79" t="s">
        <v>86</v>
      </c>
      <c r="D127" s="77">
        <v>5306.21</v>
      </c>
      <c r="E127" s="44" t="s">
        <v>86</v>
      </c>
      <c r="F127" s="212" t="s">
        <v>86</v>
      </c>
      <c r="G127" s="78" t="s">
        <v>86</v>
      </c>
      <c r="H127" s="79" t="s">
        <v>86</v>
      </c>
      <c r="I127" s="68" t="s">
        <v>86</v>
      </c>
      <c r="J127" s="82" t="s">
        <v>86</v>
      </c>
      <c r="K127" s="69" t="s">
        <v>86</v>
      </c>
      <c r="L127" s="99" t="s">
        <v>86</v>
      </c>
      <c r="M127" s="72" t="s">
        <v>86</v>
      </c>
      <c r="N127" s="72" t="s">
        <v>86</v>
      </c>
      <c r="O127" s="72" t="s">
        <v>86</v>
      </c>
      <c r="P127" s="73" t="s">
        <v>86</v>
      </c>
      <c r="Q127" s="326"/>
      <c r="R127" s="327"/>
      <c r="S127" s="327"/>
      <c r="T127" s="327"/>
      <c r="U127" s="327"/>
      <c r="V127" s="327"/>
      <c r="W127" s="327"/>
      <c r="X127" s="328"/>
    </row>
    <row r="128" spans="1:24" x14ac:dyDescent="0.2">
      <c r="A128" s="78" t="s">
        <v>86</v>
      </c>
      <c r="B128" s="79" t="s">
        <v>86</v>
      </c>
      <c r="C128" s="79" t="s">
        <v>86</v>
      </c>
      <c r="D128" s="77">
        <v>4980.8100000000004</v>
      </c>
      <c r="E128" s="44" t="s">
        <v>86</v>
      </c>
      <c r="F128" s="212" t="s">
        <v>86</v>
      </c>
      <c r="G128" s="78" t="s">
        <v>86</v>
      </c>
      <c r="H128" s="79" t="s">
        <v>86</v>
      </c>
      <c r="I128" s="68" t="s">
        <v>86</v>
      </c>
      <c r="J128" s="82" t="s">
        <v>86</v>
      </c>
      <c r="K128" s="69" t="s">
        <v>86</v>
      </c>
      <c r="L128" s="99" t="s">
        <v>86</v>
      </c>
      <c r="M128" s="72" t="s">
        <v>86</v>
      </c>
      <c r="N128" s="72" t="s">
        <v>86</v>
      </c>
      <c r="O128" s="72" t="s">
        <v>86</v>
      </c>
      <c r="P128" s="73" t="s">
        <v>86</v>
      </c>
      <c r="Q128" s="326"/>
      <c r="R128" s="327"/>
      <c r="S128" s="327"/>
      <c r="T128" s="327"/>
      <c r="U128" s="327"/>
      <c r="V128" s="327"/>
      <c r="W128" s="327"/>
      <c r="X128" s="328"/>
    </row>
    <row r="129" spans="1:24" x14ac:dyDescent="0.2">
      <c r="A129" s="78" t="s">
        <v>86</v>
      </c>
      <c r="B129" s="79" t="s">
        <v>86</v>
      </c>
      <c r="C129" s="79" t="s">
        <v>86</v>
      </c>
      <c r="D129" s="77">
        <v>4659.6099999999997</v>
      </c>
      <c r="E129" s="44" t="s">
        <v>86</v>
      </c>
      <c r="F129" s="212" t="s">
        <v>86</v>
      </c>
      <c r="G129" s="78" t="s">
        <v>86</v>
      </c>
      <c r="H129" s="79" t="s">
        <v>86</v>
      </c>
      <c r="I129" s="68" t="s">
        <v>86</v>
      </c>
      <c r="J129" s="82" t="s">
        <v>86</v>
      </c>
      <c r="K129" s="69" t="s">
        <v>86</v>
      </c>
      <c r="L129" s="99" t="s">
        <v>86</v>
      </c>
      <c r="M129" s="72" t="s">
        <v>86</v>
      </c>
      <c r="N129" s="72" t="s">
        <v>86</v>
      </c>
      <c r="O129" s="72" t="s">
        <v>86</v>
      </c>
      <c r="P129" s="73" t="s">
        <v>86</v>
      </c>
      <c r="Q129" s="326"/>
      <c r="R129" s="327"/>
      <c r="S129" s="327"/>
      <c r="T129" s="327"/>
      <c r="U129" s="327"/>
      <c r="V129" s="327"/>
      <c r="W129" s="327"/>
      <c r="X129" s="328"/>
    </row>
    <row r="130" spans="1:24" x14ac:dyDescent="0.2">
      <c r="A130" s="78" t="s">
        <v>86</v>
      </c>
      <c r="B130" s="79" t="s">
        <v>86</v>
      </c>
      <c r="C130" s="79" t="s">
        <v>86</v>
      </c>
      <c r="D130" s="77">
        <v>3955.01</v>
      </c>
      <c r="E130" s="44" t="s">
        <v>86</v>
      </c>
      <c r="F130" s="212" t="s">
        <v>86</v>
      </c>
      <c r="G130" s="78" t="s">
        <v>86</v>
      </c>
      <c r="H130" s="79" t="s">
        <v>86</v>
      </c>
      <c r="I130" s="68" t="s">
        <v>86</v>
      </c>
      <c r="J130" s="82" t="s">
        <v>86</v>
      </c>
      <c r="K130" s="69" t="s">
        <v>86</v>
      </c>
      <c r="L130" s="99" t="s">
        <v>86</v>
      </c>
      <c r="M130" s="72" t="s">
        <v>86</v>
      </c>
      <c r="N130" s="72" t="s">
        <v>86</v>
      </c>
      <c r="O130" s="72" t="s">
        <v>86</v>
      </c>
      <c r="P130" s="73" t="s">
        <v>86</v>
      </c>
      <c r="Q130" s="326"/>
      <c r="R130" s="327"/>
      <c r="S130" s="327"/>
      <c r="T130" s="327"/>
      <c r="U130" s="327"/>
      <c r="V130" s="327"/>
      <c r="W130" s="327"/>
      <c r="X130" s="328"/>
    </row>
    <row r="131" spans="1:24" x14ac:dyDescent="0.2">
      <c r="A131" s="78" t="s">
        <v>86</v>
      </c>
      <c r="B131" s="79" t="s">
        <v>86</v>
      </c>
      <c r="C131" s="79" t="s">
        <v>86</v>
      </c>
      <c r="D131" s="77">
        <v>3179.91</v>
      </c>
      <c r="E131" s="44" t="s">
        <v>86</v>
      </c>
      <c r="F131" s="212" t="s">
        <v>86</v>
      </c>
      <c r="G131" s="78" t="s">
        <v>86</v>
      </c>
      <c r="H131" s="79" t="s">
        <v>86</v>
      </c>
      <c r="I131" s="68" t="s">
        <v>86</v>
      </c>
      <c r="J131" s="82" t="s">
        <v>86</v>
      </c>
      <c r="K131" s="69" t="s">
        <v>86</v>
      </c>
      <c r="L131" s="99" t="s">
        <v>86</v>
      </c>
      <c r="M131" s="72" t="s">
        <v>86</v>
      </c>
      <c r="N131" s="72" t="s">
        <v>86</v>
      </c>
      <c r="O131" s="72" t="s">
        <v>86</v>
      </c>
      <c r="P131" s="73" t="s">
        <v>86</v>
      </c>
      <c r="Q131" s="326"/>
      <c r="R131" s="327"/>
      <c r="S131" s="327"/>
      <c r="T131" s="327"/>
      <c r="U131" s="327"/>
      <c r="V131" s="327"/>
      <c r="W131" s="327"/>
      <c r="X131" s="328"/>
    </row>
    <row r="132" spans="1:24" x14ac:dyDescent="0.2">
      <c r="A132" s="78" t="s">
        <v>86</v>
      </c>
      <c r="B132" s="79" t="s">
        <v>86</v>
      </c>
      <c r="C132" s="79" t="s">
        <v>86</v>
      </c>
      <c r="D132" s="77">
        <v>2766.51</v>
      </c>
      <c r="E132" s="44" t="s">
        <v>86</v>
      </c>
      <c r="F132" s="212" t="s">
        <v>86</v>
      </c>
      <c r="G132" s="78" t="s">
        <v>86</v>
      </c>
      <c r="H132" s="79" t="s">
        <v>86</v>
      </c>
      <c r="I132" s="68" t="s">
        <v>86</v>
      </c>
      <c r="J132" s="82" t="s">
        <v>86</v>
      </c>
      <c r="K132" s="69" t="s">
        <v>86</v>
      </c>
      <c r="L132" s="99" t="s">
        <v>86</v>
      </c>
      <c r="M132" s="72" t="s">
        <v>86</v>
      </c>
      <c r="N132" s="72" t="s">
        <v>86</v>
      </c>
      <c r="O132" s="72" t="s">
        <v>86</v>
      </c>
      <c r="P132" s="73" t="s">
        <v>86</v>
      </c>
      <c r="Q132" s="326"/>
      <c r="R132" s="327"/>
      <c r="S132" s="327"/>
      <c r="T132" s="327"/>
      <c r="U132" s="327"/>
      <c r="V132" s="327"/>
      <c r="W132" s="327"/>
      <c r="X132" s="328"/>
    </row>
    <row r="133" spans="1:24" x14ac:dyDescent="0.2">
      <c r="A133" s="78" t="s">
        <v>86</v>
      </c>
      <c r="B133" s="79" t="s">
        <v>86</v>
      </c>
      <c r="C133" s="79" t="s">
        <v>86</v>
      </c>
      <c r="D133" s="77">
        <v>2489.61</v>
      </c>
      <c r="E133" s="44" t="s">
        <v>86</v>
      </c>
      <c r="F133" s="212" t="s">
        <v>86</v>
      </c>
      <c r="G133" s="78" t="s">
        <v>86</v>
      </c>
      <c r="H133" s="79" t="s">
        <v>86</v>
      </c>
      <c r="I133" s="68" t="s">
        <v>86</v>
      </c>
      <c r="J133" s="82" t="s">
        <v>86</v>
      </c>
      <c r="K133" s="69" t="s">
        <v>86</v>
      </c>
      <c r="L133" s="99" t="s">
        <v>86</v>
      </c>
      <c r="M133" s="72" t="s">
        <v>86</v>
      </c>
      <c r="N133" s="72" t="s">
        <v>86</v>
      </c>
      <c r="O133" s="72" t="s">
        <v>86</v>
      </c>
      <c r="P133" s="73" t="s">
        <v>86</v>
      </c>
      <c r="Q133" s="326"/>
      <c r="R133" s="327"/>
      <c r="S133" s="327"/>
      <c r="T133" s="327"/>
      <c r="U133" s="327"/>
      <c r="V133" s="327"/>
      <c r="W133" s="327"/>
      <c r="X133" s="328"/>
    </row>
    <row r="134" spans="1:24" x14ac:dyDescent="0.2">
      <c r="A134" s="78" t="s">
        <v>86</v>
      </c>
      <c r="B134" s="79" t="s">
        <v>86</v>
      </c>
      <c r="C134" s="79" t="s">
        <v>86</v>
      </c>
      <c r="D134" s="81">
        <v>2095.31</v>
      </c>
      <c r="E134" s="44" t="s">
        <v>86</v>
      </c>
      <c r="F134" s="212" t="s">
        <v>86</v>
      </c>
      <c r="G134" s="78" t="s">
        <v>86</v>
      </c>
      <c r="H134" s="79" t="s">
        <v>86</v>
      </c>
      <c r="I134" s="68" t="s">
        <v>86</v>
      </c>
      <c r="J134" s="82" t="s">
        <v>86</v>
      </c>
      <c r="K134" s="69" t="s">
        <v>86</v>
      </c>
      <c r="L134" s="99" t="s">
        <v>86</v>
      </c>
      <c r="M134" s="72" t="s">
        <v>86</v>
      </c>
      <c r="N134" s="72" t="s">
        <v>86</v>
      </c>
      <c r="O134" s="72" t="s">
        <v>86</v>
      </c>
      <c r="P134" s="73" t="s">
        <v>86</v>
      </c>
      <c r="Q134" s="326"/>
      <c r="R134" s="327"/>
      <c r="S134" s="327"/>
      <c r="T134" s="327"/>
      <c r="U134" s="327"/>
      <c r="V134" s="327"/>
      <c r="W134" s="327"/>
      <c r="X134" s="328"/>
    </row>
    <row r="135" spans="1:24" x14ac:dyDescent="0.2">
      <c r="A135" s="78" t="s">
        <v>86</v>
      </c>
      <c r="B135" s="79" t="s">
        <v>86</v>
      </c>
      <c r="C135" s="79" t="s">
        <v>86</v>
      </c>
      <c r="D135" s="81">
        <v>1847.7</v>
      </c>
      <c r="E135" s="44" t="s">
        <v>86</v>
      </c>
      <c r="F135" s="212" t="s">
        <v>86</v>
      </c>
      <c r="G135" s="78" t="s">
        <v>86</v>
      </c>
      <c r="H135" s="79" t="s">
        <v>86</v>
      </c>
      <c r="I135" s="68" t="s">
        <v>86</v>
      </c>
      <c r="J135" s="82" t="s">
        <v>86</v>
      </c>
      <c r="K135" s="69" t="s">
        <v>86</v>
      </c>
      <c r="L135" s="99" t="s">
        <v>86</v>
      </c>
      <c r="M135" s="72" t="s">
        <v>86</v>
      </c>
      <c r="N135" s="72" t="s">
        <v>86</v>
      </c>
      <c r="O135" s="72" t="s">
        <v>86</v>
      </c>
      <c r="P135" s="73" t="s">
        <v>86</v>
      </c>
      <c r="Q135" s="326"/>
      <c r="R135" s="327"/>
      <c r="S135" s="327"/>
      <c r="T135" s="327"/>
      <c r="U135" s="327"/>
      <c r="V135" s="327"/>
      <c r="W135" s="327"/>
      <c r="X135" s="328"/>
    </row>
    <row r="136" spans="1:24" x14ac:dyDescent="0.2">
      <c r="A136" s="78" t="s">
        <v>86</v>
      </c>
      <c r="B136" s="79" t="s">
        <v>86</v>
      </c>
      <c r="C136" s="79" t="s">
        <v>86</v>
      </c>
      <c r="D136" s="81">
        <v>1555.2</v>
      </c>
      <c r="E136" s="44" t="s">
        <v>86</v>
      </c>
      <c r="F136" s="212" t="s">
        <v>86</v>
      </c>
      <c r="G136" s="78" t="s">
        <v>86</v>
      </c>
      <c r="H136" s="79" t="s">
        <v>86</v>
      </c>
      <c r="I136" s="68" t="s">
        <v>86</v>
      </c>
      <c r="J136" s="82" t="s">
        <v>86</v>
      </c>
      <c r="K136" s="69" t="s">
        <v>86</v>
      </c>
      <c r="L136" s="99" t="s">
        <v>86</v>
      </c>
      <c r="M136" s="72" t="s">
        <v>86</v>
      </c>
      <c r="N136" s="72" t="s">
        <v>86</v>
      </c>
      <c r="O136" s="72" t="s">
        <v>86</v>
      </c>
      <c r="P136" s="73" t="s">
        <v>86</v>
      </c>
      <c r="Q136" s="326"/>
      <c r="R136" s="327"/>
      <c r="S136" s="327"/>
      <c r="T136" s="327"/>
      <c r="U136" s="327"/>
      <c r="V136" s="327"/>
      <c r="W136" s="327"/>
      <c r="X136" s="328"/>
    </row>
    <row r="137" spans="1:24" x14ac:dyDescent="0.2">
      <c r="A137" s="78" t="s">
        <v>86</v>
      </c>
      <c r="B137" s="79" t="s">
        <v>86</v>
      </c>
      <c r="C137" s="79" t="s">
        <v>86</v>
      </c>
      <c r="D137" s="81">
        <v>1253.0999999999999</v>
      </c>
      <c r="E137" s="44" t="s">
        <v>86</v>
      </c>
      <c r="F137" s="212" t="s">
        <v>86</v>
      </c>
      <c r="G137" s="78" t="s">
        <v>86</v>
      </c>
      <c r="H137" s="79" t="s">
        <v>86</v>
      </c>
      <c r="I137" s="68" t="s">
        <v>86</v>
      </c>
      <c r="J137" s="82" t="s">
        <v>86</v>
      </c>
      <c r="K137" s="69" t="s">
        <v>86</v>
      </c>
      <c r="L137" s="99" t="s">
        <v>86</v>
      </c>
      <c r="M137" s="72" t="s">
        <v>86</v>
      </c>
      <c r="N137" s="72" t="s">
        <v>86</v>
      </c>
      <c r="O137" s="72" t="s">
        <v>86</v>
      </c>
      <c r="P137" s="73" t="s">
        <v>86</v>
      </c>
      <c r="Q137" s="326"/>
      <c r="R137" s="327"/>
      <c r="S137" s="327"/>
      <c r="T137" s="327"/>
      <c r="U137" s="327"/>
      <c r="V137" s="327"/>
      <c r="W137" s="327"/>
      <c r="X137" s="328"/>
    </row>
    <row r="138" spans="1:24" x14ac:dyDescent="0.2">
      <c r="A138" s="78" t="s">
        <v>86</v>
      </c>
      <c r="B138" s="79" t="s">
        <v>86</v>
      </c>
      <c r="C138" s="79" t="s">
        <v>86</v>
      </c>
      <c r="D138" s="81">
        <v>845.2</v>
      </c>
      <c r="E138" s="44" t="s">
        <v>86</v>
      </c>
      <c r="F138" s="212" t="s">
        <v>86</v>
      </c>
      <c r="G138" s="78" t="s">
        <v>86</v>
      </c>
      <c r="H138" s="79" t="s">
        <v>86</v>
      </c>
      <c r="I138" s="68" t="s">
        <v>86</v>
      </c>
      <c r="J138" s="82" t="s">
        <v>86</v>
      </c>
      <c r="K138" s="69" t="s">
        <v>86</v>
      </c>
      <c r="L138" s="99" t="s">
        <v>86</v>
      </c>
      <c r="M138" s="72" t="s">
        <v>86</v>
      </c>
      <c r="N138" s="72" t="s">
        <v>86</v>
      </c>
      <c r="O138" s="72" t="s">
        <v>86</v>
      </c>
      <c r="P138" s="73" t="s">
        <v>86</v>
      </c>
      <c r="Q138" s="326"/>
      <c r="R138" s="327"/>
      <c r="S138" s="327"/>
      <c r="T138" s="327"/>
      <c r="U138" s="327"/>
      <c r="V138" s="327"/>
      <c r="W138" s="327"/>
      <c r="X138" s="328"/>
    </row>
    <row r="139" spans="1:24" ht="15.75" thickBot="1" x14ac:dyDescent="0.25">
      <c r="A139" s="78" t="s">
        <v>86</v>
      </c>
      <c r="B139" s="79" t="s">
        <v>86</v>
      </c>
      <c r="C139" s="79" t="s">
        <v>86</v>
      </c>
      <c r="D139" s="81">
        <v>770.2</v>
      </c>
      <c r="E139" s="44" t="s">
        <v>86</v>
      </c>
      <c r="F139" s="212" t="s">
        <v>86</v>
      </c>
      <c r="G139" s="78" t="s">
        <v>86</v>
      </c>
      <c r="H139" s="79" t="s">
        <v>86</v>
      </c>
      <c r="I139" s="68" t="s">
        <v>86</v>
      </c>
      <c r="J139" s="82" t="s">
        <v>86</v>
      </c>
      <c r="K139" s="69" t="s">
        <v>86</v>
      </c>
      <c r="L139" s="98" t="s">
        <v>86</v>
      </c>
      <c r="M139" s="72" t="s">
        <v>86</v>
      </c>
      <c r="N139" s="72" t="s">
        <v>86</v>
      </c>
      <c r="O139" s="72" t="s">
        <v>86</v>
      </c>
      <c r="P139" s="73" t="s">
        <v>86</v>
      </c>
      <c r="Q139" s="326"/>
      <c r="R139" s="327"/>
      <c r="S139" s="327"/>
      <c r="T139" s="327"/>
      <c r="U139" s="327"/>
      <c r="V139" s="327"/>
      <c r="W139" s="327"/>
      <c r="X139" s="328"/>
    </row>
    <row r="140" spans="1:24" ht="31.15" customHeight="1" x14ac:dyDescent="0.2">
      <c r="A140" s="78" t="s">
        <v>86</v>
      </c>
      <c r="B140" s="79" t="s">
        <v>86</v>
      </c>
      <c r="C140" s="79" t="s">
        <v>86</v>
      </c>
      <c r="D140" s="81">
        <v>585.29999999999995</v>
      </c>
      <c r="E140" s="44">
        <v>15869.08</v>
      </c>
      <c r="F140" s="109">
        <v>15869.079999999998</v>
      </c>
      <c r="G140" s="78" t="s">
        <v>86</v>
      </c>
      <c r="H140" s="79" t="s">
        <v>86</v>
      </c>
      <c r="I140" s="68" t="s">
        <v>86</v>
      </c>
      <c r="J140" s="82" t="s">
        <v>86</v>
      </c>
      <c r="K140" s="69">
        <v>5744.19</v>
      </c>
      <c r="L140" s="99" t="s">
        <v>86</v>
      </c>
      <c r="M140" s="72" t="s">
        <v>86</v>
      </c>
      <c r="N140" s="72" t="s">
        <v>86</v>
      </c>
      <c r="O140" s="402" t="s">
        <v>86</v>
      </c>
      <c r="P140" s="73" t="s">
        <v>86</v>
      </c>
      <c r="Q140" s="347" t="s">
        <v>103</v>
      </c>
      <c r="R140" s="348"/>
      <c r="S140" s="348"/>
      <c r="T140" s="348"/>
      <c r="U140" s="348"/>
      <c r="V140" s="348"/>
      <c r="W140" s="348"/>
      <c r="X140" s="349"/>
    </row>
    <row r="141" spans="1:24" ht="30.6" customHeight="1" x14ac:dyDescent="0.2">
      <c r="A141" s="78" t="s">
        <v>86</v>
      </c>
      <c r="B141" s="79" t="s">
        <v>86</v>
      </c>
      <c r="C141" s="79" t="s">
        <v>86</v>
      </c>
      <c r="D141" s="81">
        <v>472.4</v>
      </c>
      <c r="E141" s="44">
        <v>15760.48</v>
      </c>
      <c r="F141" s="109">
        <v>15760.479999999998</v>
      </c>
      <c r="G141" s="78" t="s">
        <v>86</v>
      </c>
      <c r="H141" s="79" t="s">
        <v>86</v>
      </c>
      <c r="I141" s="68" t="s">
        <v>86</v>
      </c>
      <c r="J141" s="82" t="s">
        <v>86</v>
      </c>
      <c r="K141" s="69">
        <v>5743.83</v>
      </c>
      <c r="L141" s="99" t="s">
        <v>86</v>
      </c>
      <c r="M141" s="72" t="s">
        <v>86</v>
      </c>
      <c r="N141" s="72" t="s">
        <v>86</v>
      </c>
      <c r="O141" s="402" t="s">
        <v>86</v>
      </c>
      <c r="P141" s="73" t="s">
        <v>86</v>
      </c>
      <c r="Q141" s="350" t="s">
        <v>102</v>
      </c>
      <c r="R141" s="351"/>
      <c r="S141" s="351"/>
      <c r="T141" s="351"/>
      <c r="U141" s="351"/>
      <c r="V141" s="351"/>
      <c r="W141" s="351"/>
      <c r="X141" s="352"/>
    </row>
    <row r="142" spans="1:24" x14ac:dyDescent="0.2">
      <c r="A142" s="78" t="s">
        <v>86</v>
      </c>
      <c r="B142" s="79" t="s">
        <v>86</v>
      </c>
      <c r="C142" s="79" t="s">
        <v>86</v>
      </c>
      <c r="D142" s="81">
        <v>222.7</v>
      </c>
      <c r="E142" s="44" t="s">
        <v>86</v>
      </c>
      <c r="F142" s="212" t="s">
        <v>86</v>
      </c>
      <c r="G142" s="78" t="s">
        <v>86</v>
      </c>
      <c r="H142" s="79" t="s">
        <v>86</v>
      </c>
      <c r="I142" s="68" t="s">
        <v>86</v>
      </c>
      <c r="J142" s="82" t="s">
        <v>86</v>
      </c>
      <c r="K142" s="69" t="s">
        <v>86</v>
      </c>
      <c r="L142" s="99" t="s">
        <v>86</v>
      </c>
      <c r="M142" s="72" t="s">
        <v>86</v>
      </c>
      <c r="N142" s="72" t="s">
        <v>86</v>
      </c>
      <c r="O142" s="72" t="s">
        <v>86</v>
      </c>
      <c r="P142" s="73" t="s">
        <v>86</v>
      </c>
      <c r="Q142" s="326"/>
      <c r="R142" s="327"/>
      <c r="S142" s="327"/>
      <c r="T142" s="327"/>
      <c r="U142" s="327"/>
      <c r="V142" s="327"/>
      <c r="W142" s="327"/>
      <c r="X142" s="328"/>
    </row>
    <row r="143" spans="1:24" x14ac:dyDescent="0.2">
      <c r="A143" s="63">
        <v>15512</v>
      </c>
      <c r="B143" s="79">
        <v>15515.2</v>
      </c>
      <c r="C143" s="79">
        <v>15515.2</v>
      </c>
      <c r="D143" s="81">
        <v>200.4</v>
      </c>
      <c r="E143" s="44">
        <v>15488.48</v>
      </c>
      <c r="F143" s="109">
        <v>15488.479999999998</v>
      </c>
      <c r="G143" s="122">
        <v>5744.07</v>
      </c>
      <c r="H143" s="210">
        <v>5744.07</v>
      </c>
      <c r="I143" s="68">
        <v>5744.07</v>
      </c>
      <c r="J143" s="82" t="s">
        <v>86</v>
      </c>
      <c r="K143" s="69">
        <v>5743.36</v>
      </c>
      <c r="L143" s="75">
        <f t="shared" ref="L143:L146" si="14">H143-G143</f>
        <v>0</v>
      </c>
      <c r="M143" s="72">
        <f t="shared" ref="M143:M146" si="15">I143-G143</f>
        <v>0</v>
      </c>
      <c r="N143" s="72">
        <f t="shared" ref="N143:N146" si="16">K143-I143</f>
        <v>-0.71000000000003638</v>
      </c>
      <c r="O143" s="72" t="s">
        <v>86</v>
      </c>
      <c r="P143" s="73">
        <f t="shared" ref="P143:P146" si="17">K143-G143</f>
        <v>-0.71000000000003638</v>
      </c>
      <c r="Q143" s="326"/>
      <c r="R143" s="327"/>
      <c r="S143" s="327"/>
      <c r="T143" s="327"/>
      <c r="U143" s="327"/>
      <c r="V143" s="327"/>
      <c r="W143" s="327"/>
      <c r="X143" s="328"/>
    </row>
    <row r="144" spans="1:24" x14ac:dyDescent="0.2">
      <c r="A144" s="63">
        <v>15150</v>
      </c>
      <c r="B144" s="79">
        <v>15150.2</v>
      </c>
      <c r="C144" s="79">
        <v>15150.2</v>
      </c>
      <c r="D144" s="77">
        <v>15152.48</v>
      </c>
      <c r="E144" s="44">
        <v>15152.48</v>
      </c>
      <c r="F144" s="109">
        <v>15152.479999999998</v>
      </c>
      <c r="G144" s="122">
        <v>5741.5999999999995</v>
      </c>
      <c r="H144" s="210">
        <v>5741.5999999999995</v>
      </c>
      <c r="I144" s="68">
        <v>5741.6</v>
      </c>
      <c r="J144" s="82">
        <v>5741.6</v>
      </c>
      <c r="K144" s="69">
        <v>5741.6</v>
      </c>
      <c r="L144" s="75">
        <f t="shared" si="14"/>
        <v>0</v>
      </c>
      <c r="M144" s="72">
        <f t="shared" si="15"/>
        <v>0</v>
      </c>
      <c r="N144" s="72">
        <f t="shared" si="16"/>
        <v>0</v>
      </c>
      <c r="O144" s="72">
        <f t="shared" ref="O143:O146" si="18">K144-J144</f>
        <v>0</v>
      </c>
      <c r="P144" s="73">
        <f t="shared" si="17"/>
        <v>0</v>
      </c>
      <c r="Q144" s="326"/>
      <c r="R144" s="327"/>
      <c r="S144" s="327"/>
      <c r="T144" s="327"/>
      <c r="U144" s="327"/>
      <c r="V144" s="327"/>
      <c r="W144" s="327"/>
      <c r="X144" s="328"/>
    </row>
    <row r="145" spans="1:24" ht="15.75" thickBot="1" x14ac:dyDescent="0.25">
      <c r="A145" s="63">
        <v>14950</v>
      </c>
      <c r="B145" s="79">
        <v>14950.2</v>
      </c>
      <c r="C145" s="79">
        <v>14950.2</v>
      </c>
      <c r="D145" s="77">
        <v>14927.18</v>
      </c>
      <c r="E145" s="44">
        <v>14927.18</v>
      </c>
      <c r="F145" s="109">
        <v>14927.179999999998</v>
      </c>
      <c r="G145" s="122">
        <v>5740.5899999999992</v>
      </c>
      <c r="H145" s="210">
        <v>5740.5899999999992</v>
      </c>
      <c r="I145" s="68">
        <v>5740.59</v>
      </c>
      <c r="J145" s="82">
        <v>5740.02</v>
      </c>
      <c r="K145" s="69">
        <v>5740.02</v>
      </c>
      <c r="L145" s="75">
        <f t="shared" si="14"/>
        <v>0</v>
      </c>
      <c r="M145" s="72">
        <f t="shared" si="15"/>
        <v>0</v>
      </c>
      <c r="N145" s="72">
        <f t="shared" si="16"/>
        <v>-0.56999999999970896</v>
      </c>
      <c r="O145" s="72">
        <f t="shared" si="18"/>
        <v>0</v>
      </c>
      <c r="P145" s="73">
        <f t="shared" si="17"/>
        <v>-0.56999999999879947</v>
      </c>
      <c r="Q145" s="326"/>
      <c r="R145" s="327"/>
      <c r="S145" s="327"/>
      <c r="T145" s="327"/>
      <c r="U145" s="327"/>
      <c r="V145" s="327"/>
      <c r="W145" s="327"/>
      <c r="X145" s="328"/>
    </row>
    <row r="146" spans="1:24" ht="30.6" customHeight="1" thickBot="1" x14ac:dyDescent="0.25">
      <c r="A146" s="138">
        <v>14800</v>
      </c>
      <c r="B146" s="139">
        <v>14800.2</v>
      </c>
      <c r="C146" s="139">
        <v>14800.2</v>
      </c>
      <c r="D146" s="140">
        <v>14785.38</v>
      </c>
      <c r="E146" s="141">
        <v>14785.38</v>
      </c>
      <c r="F146" s="142">
        <v>14785.38</v>
      </c>
      <c r="G146" s="143">
        <v>5739.17</v>
      </c>
      <c r="H146" s="211">
        <v>5739.17</v>
      </c>
      <c r="I146" s="145">
        <v>5739.18</v>
      </c>
      <c r="J146" s="201">
        <v>5739.6</v>
      </c>
      <c r="K146" s="202">
        <v>5739.6</v>
      </c>
      <c r="L146" s="146">
        <f t="shared" si="14"/>
        <v>0</v>
      </c>
      <c r="M146" s="147">
        <f t="shared" si="15"/>
        <v>1.0000000000218279E-2</v>
      </c>
      <c r="N146" s="147">
        <f t="shared" si="16"/>
        <v>0.42000000000007276</v>
      </c>
      <c r="O146" s="151">
        <f t="shared" si="18"/>
        <v>0</v>
      </c>
      <c r="P146" s="148">
        <f t="shared" si="17"/>
        <v>0.43000000000029104</v>
      </c>
      <c r="Q146" s="283" t="s">
        <v>104</v>
      </c>
      <c r="R146" s="284"/>
      <c r="S146" s="284"/>
      <c r="T146" s="284"/>
      <c r="U146" s="284"/>
      <c r="V146" s="284"/>
      <c r="W146" s="284"/>
      <c r="X146" s="285"/>
    </row>
    <row r="147" spans="1:24" ht="15.75" thickBot="1" x14ac:dyDescent="0.25">
      <c r="A147" s="344" t="s">
        <v>106</v>
      </c>
      <c r="B147" s="345"/>
      <c r="C147" s="345"/>
      <c r="D147" s="345"/>
      <c r="E147" s="345"/>
      <c r="F147" s="345"/>
      <c r="G147" s="345"/>
      <c r="H147" s="345"/>
      <c r="I147" s="345"/>
      <c r="J147" s="345"/>
      <c r="K147" s="345"/>
      <c r="L147" s="345"/>
      <c r="M147" s="345"/>
      <c r="N147" s="345"/>
      <c r="O147" s="345"/>
      <c r="P147" s="346"/>
      <c r="Q147" s="326"/>
      <c r="R147" s="327"/>
      <c r="S147" s="327"/>
      <c r="T147" s="327"/>
      <c r="U147" s="327"/>
      <c r="V147" s="327"/>
      <c r="W147" s="327"/>
      <c r="X147" s="328"/>
    </row>
    <row r="148" spans="1:24" s="3" customFormat="1" ht="12.75" x14ac:dyDescent="0.2">
      <c r="A148" s="57" t="s">
        <v>68</v>
      </c>
      <c r="B148" s="57"/>
      <c r="C148" s="57"/>
      <c r="D148" s="57"/>
      <c r="E148" s="57"/>
      <c r="F148" s="57"/>
      <c r="G148" s="57"/>
      <c r="H148" s="57"/>
      <c r="I148" s="57"/>
      <c r="J148" s="57"/>
      <c r="K148" s="57"/>
      <c r="L148" s="57"/>
      <c r="M148" s="57"/>
      <c r="N148" s="57"/>
      <c r="O148" s="57"/>
      <c r="P148" s="57"/>
    </row>
    <row r="149" spans="1:24" s="3" customFormat="1" x14ac:dyDescent="0.2">
      <c r="A149" s="58" t="s">
        <v>69</v>
      </c>
      <c r="B149" s="58"/>
      <c r="C149" s="58"/>
      <c r="D149" s="58"/>
      <c r="E149" s="58"/>
      <c r="F149" s="58"/>
      <c r="G149" s="133"/>
      <c r="H149" s="3" t="s">
        <v>110</v>
      </c>
      <c r="I149" s="58"/>
      <c r="J149" s="58"/>
      <c r="K149" s="58"/>
      <c r="L149" s="60"/>
      <c r="M149" s="15" t="s">
        <v>87</v>
      </c>
      <c r="N149" s="58"/>
      <c r="O149" s="58"/>
      <c r="P149" s="58"/>
      <c r="Q149" s="61"/>
      <c r="R149" s="3" t="s">
        <v>89</v>
      </c>
      <c r="T149" s="62"/>
      <c r="U149" s="3" t="s">
        <v>90</v>
      </c>
    </row>
    <row r="150" spans="1:24" s="3" customFormat="1" ht="12.75" x14ac:dyDescent="0.2"/>
    <row r="151" spans="1:24" s="3" customFormat="1" ht="12.75" x14ac:dyDescent="0.2">
      <c r="G151" s="134"/>
      <c r="H151" s="3" t="s">
        <v>111</v>
      </c>
    </row>
    <row r="152" spans="1:24" s="3" customFormat="1" ht="12.75" x14ac:dyDescent="0.2"/>
    <row r="153" spans="1:24" s="3" customFormat="1" ht="12.75" x14ac:dyDescent="0.2"/>
    <row r="154" spans="1:24" s="3" customFormat="1" ht="12.75" x14ac:dyDescent="0.2"/>
    <row r="155" spans="1:24" s="3" customFormat="1" ht="12.75" x14ac:dyDescent="0.2"/>
    <row r="156" spans="1:24" s="3" customFormat="1" ht="12.75" x14ac:dyDescent="0.2"/>
    <row r="157" spans="1:24" s="3" customFormat="1" ht="12.75" x14ac:dyDescent="0.2"/>
    <row r="158" spans="1:24" s="3" customFormat="1" ht="12.75" x14ac:dyDescent="0.2"/>
    <row r="159" spans="1:24" s="3" customFormat="1" ht="12.75" x14ac:dyDescent="0.2"/>
    <row r="160" spans="1:24" s="3" customFormat="1" ht="12.75" x14ac:dyDescent="0.2"/>
    <row r="161" spans="1:16" s="3" customFormat="1" ht="12.75" x14ac:dyDescent="0.2">
      <c r="G161"/>
    </row>
    <row r="162" spans="1:16" s="3" customFormat="1" ht="12.75" x14ac:dyDescent="0.2">
      <c r="G162"/>
    </row>
    <row r="163" spans="1:16" s="3" customFormat="1" ht="12.75" x14ac:dyDescent="0.2">
      <c r="G163"/>
    </row>
    <row r="164" spans="1:16" s="3" customFormat="1" ht="12.75" x14ac:dyDescent="0.2">
      <c r="G164"/>
    </row>
    <row r="165" spans="1:16" s="3" customFormat="1" ht="12.75" x14ac:dyDescent="0.2">
      <c r="G165"/>
    </row>
    <row r="166" spans="1:16" s="3" customFormat="1" ht="12.75" x14ac:dyDescent="0.2">
      <c r="G166"/>
    </row>
    <row r="167" spans="1:16" s="3" customFormat="1" ht="12.75" x14ac:dyDescent="0.2">
      <c r="G167"/>
    </row>
    <row r="168" spans="1:16" s="3" customFormat="1" ht="12.75" x14ac:dyDescent="0.2">
      <c r="G168"/>
    </row>
    <row r="169" spans="1:16" s="3" customFormat="1" ht="12.75" x14ac:dyDescent="0.2">
      <c r="G169"/>
    </row>
    <row r="170" spans="1:16" x14ac:dyDescent="0.2">
      <c r="A170" s="3"/>
      <c r="B170" s="3"/>
      <c r="C170" s="3"/>
      <c r="D170" s="3"/>
      <c r="E170" s="3"/>
      <c r="F170" s="3"/>
      <c r="G170"/>
      <c r="H170" s="3"/>
      <c r="I170" s="3"/>
      <c r="J170" s="3"/>
      <c r="K170" s="3"/>
      <c r="L170" s="3"/>
      <c r="M170" s="3"/>
      <c r="N170" s="3"/>
      <c r="O170" s="3"/>
      <c r="P170" s="3"/>
    </row>
    <row r="171" spans="1:16" x14ac:dyDescent="0.2">
      <c r="A171" s="3"/>
      <c r="B171" s="3"/>
      <c r="C171" s="3"/>
      <c r="D171" s="3"/>
      <c r="E171" s="3"/>
      <c r="F171" s="3"/>
      <c r="G171"/>
      <c r="H171" s="3"/>
      <c r="I171" s="3"/>
      <c r="J171" s="3"/>
      <c r="K171" s="3"/>
      <c r="L171" s="3"/>
      <c r="M171" s="3"/>
      <c r="N171" s="3"/>
      <c r="O171" s="3"/>
      <c r="P171" s="3"/>
    </row>
    <row r="172" spans="1:16" x14ac:dyDescent="0.2">
      <c r="G172"/>
      <c r="L172" s="3"/>
      <c r="M172" s="3"/>
      <c r="N172" s="3"/>
      <c r="O172" s="3"/>
    </row>
    <row r="173" spans="1:16" x14ac:dyDescent="0.2">
      <c r="G173"/>
      <c r="L173" s="3"/>
      <c r="M173" s="3"/>
      <c r="N173" s="3"/>
      <c r="O173" s="3"/>
    </row>
    <row r="174" spans="1:16" x14ac:dyDescent="0.2">
      <c r="G174"/>
      <c r="L174" s="3"/>
      <c r="M174" s="3"/>
      <c r="N174" s="3"/>
      <c r="O174" s="3"/>
    </row>
    <row r="175" spans="1:16" x14ac:dyDescent="0.2">
      <c r="G175"/>
    </row>
    <row r="176" spans="1:16" x14ac:dyDescent="0.2">
      <c r="G176"/>
    </row>
    <row r="177" spans="7:7" x14ac:dyDescent="0.2">
      <c r="G177"/>
    </row>
    <row r="178" spans="7:7" x14ac:dyDescent="0.2">
      <c r="G178"/>
    </row>
    <row r="179" spans="7:7" x14ac:dyDescent="0.2">
      <c r="G179"/>
    </row>
    <row r="180" spans="7:7" x14ac:dyDescent="0.2">
      <c r="G180"/>
    </row>
    <row r="181" spans="7:7" x14ac:dyDescent="0.2">
      <c r="G181"/>
    </row>
    <row r="182" spans="7:7" x14ac:dyDescent="0.2">
      <c r="G182"/>
    </row>
    <row r="183" spans="7:7" x14ac:dyDescent="0.2">
      <c r="G183"/>
    </row>
    <row r="184" spans="7:7" x14ac:dyDescent="0.2">
      <c r="G184"/>
    </row>
    <row r="185" spans="7:7" x14ac:dyDescent="0.2">
      <c r="G185"/>
    </row>
    <row r="186" spans="7:7" x14ac:dyDescent="0.2">
      <c r="G186"/>
    </row>
    <row r="187" spans="7:7" x14ac:dyDescent="0.2">
      <c r="G187"/>
    </row>
    <row r="188" spans="7:7" x14ac:dyDescent="0.2">
      <c r="G188"/>
    </row>
    <row r="189" spans="7:7" x14ac:dyDescent="0.2">
      <c r="G189"/>
    </row>
    <row r="190" spans="7:7" x14ac:dyDescent="0.2">
      <c r="G190"/>
    </row>
    <row r="191" spans="7:7" x14ac:dyDescent="0.2">
      <c r="G191"/>
    </row>
    <row r="192" spans="7:7" x14ac:dyDescent="0.2">
      <c r="G192"/>
    </row>
    <row r="193" spans="7:7" x14ac:dyDescent="0.2">
      <c r="G193"/>
    </row>
    <row r="194" spans="7:7" x14ac:dyDescent="0.2">
      <c r="G194"/>
    </row>
    <row r="195" spans="7:7" x14ac:dyDescent="0.2">
      <c r="G195"/>
    </row>
    <row r="196" spans="7:7" x14ac:dyDescent="0.2">
      <c r="G196"/>
    </row>
    <row r="197" spans="7:7" x14ac:dyDescent="0.2">
      <c r="G197"/>
    </row>
    <row r="198" spans="7:7" x14ac:dyDescent="0.2">
      <c r="G198"/>
    </row>
    <row r="199" spans="7:7" x14ac:dyDescent="0.2">
      <c r="G199"/>
    </row>
    <row r="200" spans="7:7" x14ac:dyDescent="0.2">
      <c r="G200"/>
    </row>
    <row r="201" spans="7:7" x14ac:dyDescent="0.2">
      <c r="G201"/>
    </row>
    <row r="202" spans="7:7" x14ac:dyDescent="0.2">
      <c r="G202"/>
    </row>
    <row r="203" spans="7:7" x14ac:dyDescent="0.2">
      <c r="G203"/>
    </row>
    <row r="204" spans="7:7" x14ac:dyDescent="0.2">
      <c r="G204"/>
    </row>
    <row r="205" spans="7:7" x14ac:dyDescent="0.2">
      <c r="G205"/>
    </row>
    <row r="206" spans="7:7" x14ac:dyDescent="0.2">
      <c r="G206"/>
    </row>
    <row r="207" spans="7:7" x14ac:dyDescent="0.2">
      <c r="G207"/>
    </row>
    <row r="208" spans="7:7" x14ac:dyDescent="0.2">
      <c r="G208"/>
    </row>
    <row r="209" spans="7:7" x14ac:dyDescent="0.2">
      <c r="G209"/>
    </row>
  </sheetData>
  <mergeCells count="158">
    <mergeCell ref="Q143:X143"/>
    <mergeCell ref="Q144:X144"/>
    <mergeCell ref="Q145:X145"/>
    <mergeCell ref="Q146:X146"/>
    <mergeCell ref="A147:P147"/>
    <mergeCell ref="Q147:X147"/>
    <mergeCell ref="Q137:X137"/>
    <mergeCell ref="Q138:X138"/>
    <mergeCell ref="Q139:X139"/>
    <mergeCell ref="Q140:X140"/>
    <mergeCell ref="Q141:X141"/>
    <mergeCell ref="Q142:X142"/>
    <mergeCell ref="Q131:X131"/>
    <mergeCell ref="Q132:X132"/>
    <mergeCell ref="Q133:X133"/>
    <mergeCell ref="Q134:X134"/>
    <mergeCell ref="Q135:X135"/>
    <mergeCell ref="Q136:X136"/>
    <mergeCell ref="Q125:X125"/>
    <mergeCell ref="Q126:X126"/>
    <mergeCell ref="Q127:X127"/>
    <mergeCell ref="Q128:X128"/>
    <mergeCell ref="Q129:X129"/>
    <mergeCell ref="Q130:X130"/>
    <mergeCell ref="Q119:X119"/>
    <mergeCell ref="Q120:X120"/>
    <mergeCell ref="Q121:X121"/>
    <mergeCell ref="Q122:X122"/>
    <mergeCell ref="Q123:X123"/>
    <mergeCell ref="Q124:X124"/>
    <mergeCell ref="Q113:X113"/>
    <mergeCell ref="Q114:X114"/>
    <mergeCell ref="Q115:X115"/>
    <mergeCell ref="Q116:X116"/>
    <mergeCell ref="Q117:X117"/>
    <mergeCell ref="Q118:X118"/>
    <mergeCell ref="Q107:X107"/>
    <mergeCell ref="Q108:X108"/>
    <mergeCell ref="Q109:X109"/>
    <mergeCell ref="Q110:X110"/>
    <mergeCell ref="Q111:X111"/>
    <mergeCell ref="Q112:X112"/>
    <mergeCell ref="Q101:X101"/>
    <mergeCell ref="Q102:X102"/>
    <mergeCell ref="Q103:X103"/>
    <mergeCell ref="Q104:X104"/>
    <mergeCell ref="Q105:X105"/>
    <mergeCell ref="Q106:X106"/>
    <mergeCell ref="Q95:X95"/>
    <mergeCell ref="Q96:X96"/>
    <mergeCell ref="Q97:X97"/>
    <mergeCell ref="Q98:X98"/>
    <mergeCell ref="Q99:X99"/>
    <mergeCell ref="Q100:X100"/>
    <mergeCell ref="Q89:X89"/>
    <mergeCell ref="Q90:X90"/>
    <mergeCell ref="Q91:X91"/>
    <mergeCell ref="Q92:X92"/>
    <mergeCell ref="Q93:X93"/>
    <mergeCell ref="Q94:X94"/>
    <mergeCell ref="Q83:X83"/>
    <mergeCell ref="Q84:X84"/>
    <mergeCell ref="Q85:X85"/>
    <mergeCell ref="Q86:X86"/>
    <mergeCell ref="Q87:X87"/>
    <mergeCell ref="Q88:X88"/>
    <mergeCell ref="Q77:X77"/>
    <mergeCell ref="Q78:X78"/>
    <mergeCell ref="Q79:X79"/>
    <mergeCell ref="Q80:X80"/>
    <mergeCell ref="Q81:X81"/>
    <mergeCell ref="Q82:X82"/>
    <mergeCell ref="Q71:X71"/>
    <mergeCell ref="Q72:X72"/>
    <mergeCell ref="Q73:X73"/>
    <mergeCell ref="Q74:X74"/>
    <mergeCell ref="Q75:X75"/>
    <mergeCell ref="Q76:X76"/>
    <mergeCell ref="Q65:X65"/>
    <mergeCell ref="Q66:X66"/>
    <mergeCell ref="Q67:X67"/>
    <mergeCell ref="Q68:X68"/>
    <mergeCell ref="Q69:X69"/>
    <mergeCell ref="Q70:X70"/>
    <mergeCell ref="Q59:X59"/>
    <mergeCell ref="Q60:X60"/>
    <mergeCell ref="Q61:X61"/>
    <mergeCell ref="Q62:X62"/>
    <mergeCell ref="Q63:X63"/>
    <mergeCell ref="Q64:X64"/>
    <mergeCell ref="Q53:X53"/>
    <mergeCell ref="Q54:X54"/>
    <mergeCell ref="Q55:X55"/>
    <mergeCell ref="Q56:X56"/>
    <mergeCell ref="Q57:X57"/>
    <mergeCell ref="Q58:X58"/>
    <mergeCell ref="Q47:X47"/>
    <mergeCell ref="Q48:X48"/>
    <mergeCell ref="Q49:X49"/>
    <mergeCell ref="Q50:X50"/>
    <mergeCell ref="Q51:X51"/>
    <mergeCell ref="Q52:X52"/>
    <mergeCell ref="Q41:X41"/>
    <mergeCell ref="Q42:X42"/>
    <mergeCell ref="Q43:X43"/>
    <mergeCell ref="Q44:X44"/>
    <mergeCell ref="Q45:X45"/>
    <mergeCell ref="Q46:X46"/>
    <mergeCell ref="Q35:X35"/>
    <mergeCell ref="Q36:X36"/>
    <mergeCell ref="Q37:X37"/>
    <mergeCell ref="Q38:X38"/>
    <mergeCell ref="Q39:X39"/>
    <mergeCell ref="Q40:X40"/>
    <mergeCell ref="Q29:X29"/>
    <mergeCell ref="Q30:X30"/>
    <mergeCell ref="Q31:X31"/>
    <mergeCell ref="Q32:X32"/>
    <mergeCell ref="Q33:X33"/>
    <mergeCell ref="Q34:X34"/>
    <mergeCell ref="Q23:X23"/>
    <mergeCell ref="Q24:X24"/>
    <mergeCell ref="Q25:X25"/>
    <mergeCell ref="Q26:X26"/>
    <mergeCell ref="Q27:X27"/>
    <mergeCell ref="Q28:X28"/>
    <mergeCell ref="Q17:X17"/>
    <mergeCell ref="Q18:X18"/>
    <mergeCell ref="Q19:X19"/>
    <mergeCell ref="Q20:X20"/>
    <mergeCell ref="Q21:X21"/>
    <mergeCell ref="Q22:X22"/>
    <mergeCell ref="Q11:X11"/>
    <mergeCell ref="Q12:X12"/>
    <mergeCell ref="Q13:X13"/>
    <mergeCell ref="Q14:X14"/>
    <mergeCell ref="Q15:X15"/>
    <mergeCell ref="Q16:X16"/>
    <mergeCell ref="A8:K8"/>
    <mergeCell ref="L8:P9"/>
    <mergeCell ref="A9:F9"/>
    <mergeCell ref="G9:K9"/>
    <mergeCell ref="A10:A11"/>
    <mergeCell ref="B10:B11"/>
    <mergeCell ref="C10:C11"/>
    <mergeCell ref="D10:D11"/>
    <mergeCell ref="E10:E11"/>
    <mergeCell ref="F10:F11"/>
    <mergeCell ref="A1:B5"/>
    <mergeCell ref="C1:P1"/>
    <mergeCell ref="C2:D2"/>
    <mergeCell ref="E2:P2"/>
    <mergeCell ref="C3:D3"/>
    <mergeCell ref="E3:P3"/>
    <mergeCell ref="C4:D4"/>
    <mergeCell ref="E4:P4"/>
    <mergeCell ref="C5:D5"/>
    <mergeCell ref="E5:L5"/>
  </mergeCells>
  <hyperlinks>
    <hyperlink ref="H6" r:id="rId1" xr:uid="{B6D80C65-CEE7-42E9-B565-8D62B3E1E2C4}"/>
  </hyperlinks>
  <pageMargins left="0.41" right="0.48" top="0.65" bottom="0.51" header="0.4" footer="0.2"/>
  <pageSetup paperSize="3" scale="91" fitToHeight="0" orientation="landscape"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AF0B4-F347-4D04-968C-4C64A34B7A46}">
  <sheetPr>
    <pageSetUpPr fitToPage="1"/>
  </sheetPr>
  <dimension ref="A1:Z209"/>
  <sheetViews>
    <sheetView topLeftCell="B1" zoomScale="90" zoomScaleNormal="90" workbookViewId="0">
      <pane ySplit="11" topLeftCell="A101" activePane="bottomLeft" state="frozen"/>
      <selection pane="bottomLeft" activeCell="N118" sqref="N118"/>
    </sheetView>
  </sheetViews>
  <sheetFormatPr defaultColWidth="9.140625" defaultRowHeight="15" x14ac:dyDescent="0.2"/>
  <cols>
    <col min="1" max="1" width="16.85546875" style="15" customWidth="1"/>
    <col min="2" max="2" width="15" style="15" customWidth="1"/>
    <col min="3" max="3" width="15.140625" style="15" customWidth="1"/>
    <col min="4" max="4" width="11.140625" style="15" customWidth="1"/>
    <col min="5" max="5" width="11.85546875" style="15" customWidth="1"/>
    <col min="6" max="6" width="12.5703125" style="15" customWidth="1"/>
    <col min="7" max="7" width="15.140625" style="15" customWidth="1"/>
    <col min="8" max="8" width="13" style="15" customWidth="1"/>
    <col min="9" max="9" width="12.5703125" style="15" bestFit="1" customWidth="1"/>
    <col min="10" max="10" width="12.7109375" style="15" customWidth="1"/>
    <col min="11" max="11" width="15" style="15" customWidth="1"/>
    <col min="12" max="12" width="15" style="15" bestFit="1" customWidth="1"/>
    <col min="13" max="14" width="16.140625" style="15" bestFit="1" customWidth="1"/>
    <col min="15" max="15" width="12.5703125" style="15" bestFit="1" customWidth="1"/>
    <col min="16" max="16" width="11.5703125" style="15" bestFit="1" customWidth="1"/>
    <col min="17" max="17" width="9.140625" style="15"/>
    <col min="18" max="18" width="12.7109375" style="15" bestFit="1" customWidth="1"/>
    <col min="19" max="19" width="14.5703125" style="15" bestFit="1" customWidth="1"/>
    <col min="20" max="20" width="16.140625" style="15" customWidth="1"/>
    <col min="21" max="23" width="9.140625" style="15"/>
    <col min="24" max="24" width="10.28515625" style="15" customWidth="1"/>
    <col min="25" max="25" width="13.85546875" style="15" customWidth="1"/>
    <col min="26" max="26" width="9.5703125" style="15" bestFit="1" customWidth="1"/>
    <col min="27" max="16384" width="9.140625" style="15"/>
  </cols>
  <sheetData>
    <row r="1" spans="1:26" ht="27" thickBot="1" x14ac:dyDescent="0.25">
      <c r="A1" s="259"/>
      <c r="B1" s="260"/>
      <c r="C1" s="265" t="s">
        <v>77</v>
      </c>
      <c r="D1" s="266"/>
      <c r="E1" s="266"/>
      <c r="F1" s="266"/>
      <c r="G1" s="266"/>
      <c r="H1" s="266"/>
      <c r="I1" s="266"/>
      <c r="J1" s="266"/>
      <c r="K1" s="266"/>
      <c r="L1" s="266"/>
      <c r="M1" s="266"/>
      <c r="N1" s="266"/>
      <c r="O1" s="266"/>
      <c r="P1" s="267"/>
    </row>
    <row r="2" spans="1:26" ht="16.5" customHeight="1" x14ac:dyDescent="0.2">
      <c r="A2" s="261"/>
      <c r="B2" s="262"/>
      <c r="C2" s="252" t="s">
        <v>7</v>
      </c>
      <c r="D2" s="268"/>
      <c r="E2" s="269" t="s">
        <v>116</v>
      </c>
      <c r="F2" s="270"/>
      <c r="G2" s="270"/>
      <c r="H2" s="270"/>
      <c r="I2" s="270"/>
      <c r="J2" s="270"/>
      <c r="K2" s="270"/>
      <c r="L2" s="270"/>
      <c r="M2" s="270"/>
      <c r="N2" s="270"/>
      <c r="O2" s="270"/>
      <c r="P2" s="271"/>
      <c r="S2"/>
      <c r="T2" s="183" t="s">
        <v>121</v>
      </c>
    </row>
    <row r="3" spans="1:26" ht="16.5" customHeight="1" x14ac:dyDescent="0.2">
      <c r="A3" s="261"/>
      <c r="B3" s="262"/>
      <c r="C3" s="224" t="s">
        <v>74</v>
      </c>
      <c r="D3" s="272"/>
      <c r="E3" s="273" t="s">
        <v>113</v>
      </c>
      <c r="F3" s="274"/>
      <c r="G3" s="274"/>
      <c r="H3" s="274"/>
      <c r="I3" s="274"/>
      <c r="J3" s="274"/>
      <c r="K3" s="274"/>
      <c r="L3" s="274"/>
      <c r="M3" s="274"/>
      <c r="N3" s="274"/>
      <c r="O3" s="274"/>
      <c r="P3" s="275"/>
      <c r="S3"/>
    </row>
    <row r="4" spans="1:26" ht="16.5" customHeight="1" x14ac:dyDescent="0.2">
      <c r="A4" s="261"/>
      <c r="B4" s="262"/>
      <c r="C4" s="224" t="s">
        <v>8</v>
      </c>
      <c r="D4" s="272"/>
      <c r="E4" s="273" t="s">
        <v>83</v>
      </c>
      <c r="F4" s="274"/>
      <c r="G4" s="274"/>
      <c r="H4" s="274"/>
      <c r="I4" s="274"/>
      <c r="J4" s="274"/>
      <c r="K4" s="274"/>
      <c r="L4" s="274"/>
      <c r="M4" s="274"/>
      <c r="N4" s="274"/>
      <c r="O4" s="274"/>
      <c r="P4" s="275"/>
    </row>
    <row r="5" spans="1:26" ht="16.5" thickBot="1" x14ac:dyDescent="0.25">
      <c r="A5" s="263"/>
      <c r="B5" s="264"/>
      <c r="C5" s="229" t="s">
        <v>19</v>
      </c>
      <c r="D5" s="276"/>
      <c r="E5" s="277" t="s">
        <v>118</v>
      </c>
      <c r="F5" s="278"/>
      <c r="G5" s="278"/>
      <c r="H5" s="278"/>
      <c r="I5" s="278"/>
      <c r="J5" s="278"/>
      <c r="K5" s="278"/>
      <c r="L5" s="279"/>
      <c r="M5" s="49" t="s">
        <v>5</v>
      </c>
      <c r="N5" s="51">
        <v>1</v>
      </c>
      <c r="O5" s="51" t="s">
        <v>6</v>
      </c>
      <c r="P5" s="52">
        <v>1</v>
      </c>
    </row>
    <row r="6" spans="1:26" customFormat="1" ht="15.75" x14ac:dyDescent="0.2">
      <c r="A6" s="37" t="s">
        <v>73</v>
      </c>
      <c r="B6" s="29"/>
      <c r="C6" s="29"/>
      <c r="D6" s="32"/>
      <c r="E6" s="32"/>
      <c r="F6" s="33"/>
      <c r="G6" s="33"/>
      <c r="H6" s="36" t="s">
        <v>72</v>
      </c>
      <c r="I6" s="33"/>
      <c r="J6" s="15"/>
      <c r="K6" s="33"/>
      <c r="L6" s="33"/>
      <c r="M6" s="33"/>
      <c r="N6" s="33"/>
      <c r="O6" s="33"/>
      <c r="P6" s="33"/>
      <c r="Q6" s="33"/>
      <c r="R6" s="33"/>
      <c r="S6" s="33"/>
    </row>
    <row r="7" spans="1:26" ht="15.75" thickBot="1" x14ac:dyDescent="0.25"/>
    <row r="8" spans="1:26" ht="18.75" customHeight="1" thickBot="1" x14ac:dyDescent="0.3">
      <c r="A8" s="295" t="s">
        <v>48</v>
      </c>
      <c r="B8" s="296"/>
      <c r="C8" s="296"/>
      <c r="D8" s="296"/>
      <c r="E8" s="296"/>
      <c r="F8" s="296"/>
      <c r="G8" s="296"/>
      <c r="H8" s="296"/>
      <c r="I8" s="296"/>
      <c r="J8" s="296"/>
      <c r="K8" s="296"/>
      <c r="L8" s="297" t="s">
        <v>49</v>
      </c>
      <c r="M8" s="298"/>
      <c r="N8" s="298"/>
      <c r="O8" s="298"/>
      <c r="P8" s="299"/>
    </row>
    <row r="9" spans="1:26" ht="18.75" customHeight="1" thickBot="1" x14ac:dyDescent="0.3">
      <c r="A9" s="295" t="s">
        <v>50</v>
      </c>
      <c r="B9" s="296"/>
      <c r="C9" s="296"/>
      <c r="D9" s="296"/>
      <c r="E9" s="296"/>
      <c r="F9" s="303"/>
      <c r="G9" s="304" t="s">
        <v>51</v>
      </c>
      <c r="H9" s="304"/>
      <c r="I9" s="304"/>
      <c r="J9" s="304"/>
      <c r="K9" s="305"/>
      <c r="L9" s="300"/>
      <c r="M9" s="301"/>
      <c r="N9" s="301"/>
      <c r="O9" s="301"/>
      <c r="P9" s="302"/>
    </row>
    <row r="10" spans="1:26" ht="35.25" customHeight="1" thickBot="1" x14ac:dyDescent="0.25">
      <c r="A10" s="306" t="s">
        <v>52</v>
      </c>
      <c r="B10" s="308" t="s">
        <v>53</v>
      </c>
      <c r="C10" s="310" t="s">
        <v>54</v>
      </c>
      <c r="D10" s="310" t="s">
        <v>55</v>
      </c>
      <c r="E10" s="310" t="s">
        <v>56</v>
      </c>
      <c r="F10" s="312" t="s">
        <v>57</v>
      </c>
      <c r="G10" s="16" t="s">
        <v>58</v>
      </c>
      <c r="H10" s="17" t="s">
        <v>59</v>
      </c>
      <c r="I10" s="17" t="s">
        <v>60</v>
      </c>
      <c r="J10" s="17" t="s">
        <v>61</v>
      </c>
      <c r="K10" s="18" t="s">
        <v>62</v>
      </c>
      <c r="L10" s="19" t="s">
        <v>63</v>
      </c>
      <c r="M10" s="20" t="s">
        <v>64</v>
      </c>
      <c r="N10" s="20" t="s">
        <v>65</v>
      </c>
      <c r="O10" s="20" t="s">
        <v>85</v>
      </c>
      <c r="P10" s="21" t="s">
        <v>66</v>
      </c>
    </row>
    <row r="11" spans="1:26" ht="18" customHeight="1" thickBot="1" x14ac:dyDescent="0.25">
      <c r="A11" s="307"/>
      <c r="B11" s="309"/>
      <c r="C11" s="311"/>
      <c r="D11" s="311"/>
      <c r="E11" s="311"/>
      <c r="F11" s="313"/>
      <c r="G11" s="53" t="s">
        <v>67</v>
      </c>
      <c r="H11" s="54" t="s">
        <v>67</v>
      </c>
      <c r="I11" s="54" t="s">
        <v>67</v>
      </c>
      <c r="J11" s="54" t="s">
        <v>67</v>
      </c>
      <c r="K11" s="55" t="s">
        <v>67</v>
      </c>
      <c r="L11" s="53" t="s">
        <v>67</v>
      </c>
      <c r="M11" s="54" t="s">
        <v>67</v>
      </c>
      <c r="N11" s="54" t="s">
        <v>67</v>
      </c>
      <c r="O11" s="54" t="s">
        <v>67</v>
      </c>
      <c r="P11" s="56" t="s">
        <v>67</v>
      </c>
      <c r="Q11" s="280" t="s">
        <v>88</v>
      </c>
      <c r="R11" s="281"/>
      <c r="S11" s="281"/>
      <c r="T11" s="281"/>
      <c r="U11" s="281"/>
      <c r="V11" s="281"/>
      <c r="W11" s="281"/>
      <c r="X11" s="282"/>
    </row>
    <row r="12" spans="1:26" ht="30.6" customHeight="1" x14ac:dyDescent="0.2">
      <c r="A12" s="64" t="s">
        <v>91</v>
      </c>
      <c r="B12" s="65">
        <v>31797.200000000001</v>
      </c>
      <c r="C12" s="65">
        <v>31797.200000000001</v>
      </c>
      <c r="D12" s="65">
        <v>32632.84</v>
      </c>
      <c r="E12" s="65">
        <v>31788.48</v>
      </c>
      <c r="F12" s="90"/>
      <c r="G12" s="124">
        <v>5901.73</v>
      </c>
      <c r="H12" s="125">
        <v>5901.74</v>
      </c>
      <c r="I12" s="66">
        <v>5901.78</v>
      </c>
      <c r="J12" s="66">
        <v>5901.78</v>
      </c>
      <c r="K12" s="196">
        <v>5901.78</v>
      </c>
      <c r="L12" s="93">
        <f t="shared" ref="L12:L20" si="0">H12-G12</f>
        <v>1.0000000000218279E-2</v>
      </c>
      <c r="M12" s="95">
        <f>I12-G12</f>
        <v>5.0000000000181899E-2</v>
      </c>
      <c r="N12" s="95">
        <f>K12-I12</f>
        <v>0</v>
      </c>
      <c r="O12" s="95">
        <f>K12-J12</f>
        <v>0</v>
      </c>
      <c r="P12" s="97">
        <f>K12-G12</f>
        <v>5.0000000000181899E-2</v>
      </c>
      <c r="Q12" s="283" t="s">
        <v>127</v>
      </c>
      <c r="R12" s="284"/>
      <c r="S12" s="284"/>
      <c r="T12" s="284"/>
      <c r="U12" s="284"/>
      <c r="V12" s="284"/>
      <c r="W12" s="284"/>
      <c r="X12" s="285"/>
      <c r="Y12" s="15" t="s">
        <v>119</v>
      </c>
      <c r="Z12" s="15" t="s">
        <v>120</v>
      </c>
    </row>
    <row r="13" spans="1:26" s="162" customFormat="1" ht="15" customHeight="1" x14ac:dyDescent="0.2">
      <c r="A13" s="152" t="s">
        <v>92</v>
      </c>
      <c r="B13" s="153">
        <v>30417.200000000001</v>
      </c>
      <c r="C13" s="153">
        <v>30417.200000000001</v>
      </c>
      <c r="D13" s="194">
        <v>31252.84</v>
      </c>
      <c r="E13" s="153">
        <v>30408.48</v>
      </c>
      <c r="F13" s="154">
        <v>30408.480000000014</v>
      </c>
      <c r="G13" s="155">
        <v>5890.6</v>
      </c>
      <c r="H13" s="156">
        <v>5890.7</v>
      </c>
      <c r="I13" s="68">
        <v>5890.7</v>
      </c>
      <c r="J13" s="68">
        <v>5890.31</v>
      </c>
      <c r="K13" s="69">
        <v>5889.38</v>
      </c>
      <c r="L13" s="158">
        <f t="shared" si="0"/>
        <v>9.9999999999454303E-2</v>
      </c>
      <c r="M13" s="159">
        <f>I13-G13</f>
        <v>9.9999999999454303E-2</v>
      </c>
      <c r="N13" s="160">
        <f>K13-I13</f>
        <v>-1.319999999999709</v>
      </c>
      <c r="O13" s="160">
        <f t="shared" ref="O13:O84" si="1">K13-J13</f>
        <v>-0.93000000000029104</v>
      </c>
      <c r="P13" s="161">
        <f t="shared" ref="P13:P66" si="2">K13-G13</f>
        <v>-1.2200000000002547</v>
      </c>
      <c r="Q13" s="353"/>
      <c r="R13" s="354"/>
      <c r="S13" s="354"/>
      <c r="T13" s="354"/>
      <c r="U13" s="354"/>
      <c r="V13" s="354"/>
      <c r="W13" s="354"/>
      <c r="X13" s="355"/>
      <c r="Y13" s="170">
        <v>5888.9</v>
      </c>
      <c r="Z13" s="170">
        <v>5887.74</v>
      </c>
    </row>
    <row r="14" spans="1:26" ht="15" customHeight="1" x14ac:dyDescent="0.2">
      <c r="A14" s="74" t="s">
        <v>93</v>
      </c>
      <c r="B14" s="44">
        <v>30317.200000000001</v>
      </c>
      <c r="C14" s="44">
        <v>30317.200000000001</v>
      </c>
      <c r="D14" s="44">
        <v>31144.639999999999</v>
      </c>
      <c r="E14" s="44">
        <v>30300.28</v>
      </c>
      <c r="F14" s="109">
        <v>30300.280000000013</v>
      </c>
      <c r="G14" s="126">
        <v>5890.5899999999992</v>
      </c>
      <c r="H14" s="127">
        <v>5890.66</v>
      </c>
      <c r="I14" s="68">
        <v>5890.64</v>
      </c>
      <c r="J14" s="68">
        <v>5890.11</v>
      </c>
      <c r="K14" s="69">
        <v>5889.08</v>
      </c>
      <c r="L14" s="70">
        <f t="shared" si="0"/>
        <v>7.0000000000618456E-2</v>
      </c>
      <c r="M14" s="71">
        <f>I14-G14</f>
        <v>5.0000000001091394E-2</v>
      </c>
      <c r="N14" s="72">
        <f>K14-I14</f>
        <v>-1.5600000000004002</v>
      </c>
      <c r="O14" s="72">
        <f t="shared" si="1"/>
        <v>-1.0299999999997453</v>
      </c>
      <c r="P14" s="73">
        <f t="shared" si="2"/>
        <v>-1.5099999999993088</v>
      </c>
      <c r="Q14" s="356"/>
      <c r="R14" s="357"/>
      <c r="S14" s="357"/>
      <c r="T14" s="357"/>
      <c r="U14" s="357"/>
      <c r="V14" s="357"/>
      <c r="W14" s="357"/>
      <c r="X14" s="358"/>
      <c r="Y14" s="171"/>
      <c r="Z14" s="171"/>
    </row>
    <row r="15" spans="1:26" x14ac:dyDescent="0.2">
      <c r="A15" s="74">
        <v>364.3</v>
      </c>
      <c r="B15" s="44">
        <v>30316.2</v>
      </c>
      <c r="C15" s="44">
        <v>30316.2</v>
      </c>
      <c r="D15" s="193">
        <f>D14-(77.8/3)</f>
        <v>31118.706666666665</v>
      </c>
      <c r="E15" s="44" t="s">
        <v>86</v>
      </c>
      <c r="F15" s="149" t="s">
        <v>86</v>
      </c>
      <c r="G15" s="126">
        <v>5890.54</v>
      </c>
      <c r="H15" s="127">
        <v>5890.6399999999994</v>
      </c>
      <c r="I15" s="68">
        <v>5890.63</v>
      </c>
      <c r="J15" s="195">
        <f>$J$14+(D15-$D$14)*(($J$17-$J$14)/($D$17-$D$14))</f>
        <v>5889.0066666666662</v>
      </c>
      <c r="K15" s="157">
        <f>$K$14+(30275-$F$14)*(($K$18-$K$14)/($F$18-$F$14))</f>
        <v>5888.0195467196809</v>
      </c>
      <c r="L15" s="70">
        <f t="shared" si="0"/>
        <v>9.9999999999454303E-2</v>
      </c>
      <c r="M15" s="71">
        <f t="shared" ref="M15:M16" si="3">I15-G15</f>
        <v>9.0000000000145519E-2</v>
      </c>
      <c r="N15" s="72">
        <f>K15-I15</f>
        <v>-2.6104532803192342</v>
      </c>
      <c r="O15" s="72">
        <f>K15-J15</f>
        <v>-0.9871199469853309</v>
      </c>
      <c r="P15" s="73">
        <f>K15-G15</f>
        <v>-2.5204532803190887</v>
      </c>
      <c r="Q15" s="292"/>
      <c r="R15" s="293"/>
      <c r="S15" s="293"/>
      <c r="T15" s="293"/>
      <c r="U15" s="293"/>
      <c r="V15" s="293"/>
      <c r="W15" s="293"/>
      <c r="X15" s="294"/>
      <c r="Y15" s="171"/>
      <c r="Z15" s="171"/>
    </row>
    <row r="16" spans="1:26" x14ac:dyDescent="0.2">
      <c r="A16" s="74">
        <v>364.2</v>
      </c>
      <c r="B16" s="44">
        <v>30276.2</v>
      </c>
      <c r="C16" s="44">
        <v>30276.2</v>
      </c>
      <c r="D16" s="193">
        <f>D15-(77.8/3)</f>
        <v>31092.773333333331</v>
      </c>
      <c r="E16" s="44" t="s">
        <v>86</v>
      </c>
      <c r="F16" s="149" t="s">
        <v>86</v>
      </c>
      <c r="G16" s="126">
        <v>5890.12</v>
      </c>
      <c r="H16" s="127">
        <v>5890.0599999999995</v>
      </c>
      <c r="I16" s="68">
        <v>5890.15</v>
      </c>
      <c r="J16" s="195">
        <f>$J$14+(D16-$D$14)*(($J$17-$J$14)/($D$17-$D$14))</f>
        <v>5887.9033333333336</v>
      </c>
      <c r="K16" s="157">
        <f>$K$14+(30250-$F$14)*(($K$18-$K$14)/($F$18-$F$14))</f>
        <v>5886.9708389662019</v>
      </c>
      <c r="L16" s="75">
        <f t="shared" si="0"/>
        <v>-6.0000000000400178E-2</v>
      </c>
      <c r="M16" s="71">
        <f t="shared" si="3"/>
        <v>2.9999999999745341E-2</v>
      </c>
      <c r="N16" s="72">
        <f t="shared" ref="N16:N33" si="4">K16-I16</f>
        <v>-3.1791610337977545</v>
      </c>
      <c r="O16" s="72">
        <f t="shared" ref="O16:O21" si="5">K16-J16</f>
        <v>-0.93249436713176692</v>
      </c>
      <c r="P16" s="73">
        <f t="shared" ref="P16:P33" si="6">K16-G16</f>
        <v>-3.1491610337980092</v>
      </c>
      <c r="Q16" s="292"/>
      <c r="R16" s="293"/>
      <c r="S16" s="293"/>
      <c r="T16" s="293"/>
      <c r="U16" s="293"/>
      <c r="V16" s="293"/>
      <c r="W16" s="293"/>
      <c r="X16" s="294"/>
      <c r="Y16" s="171"/>
      <c r="Z16" s="171"/>
    </row>
    <row r="17" spans="1:26" s="162" customFormat="1" x14ac:dyDescent="0.2">
      <c r="A17" s="163" t="s">
        <v>94</v>
      </c>
      <c r="B17" s="164">
        <v>30275.200000000001</v>
      </c>
      <c r="C17" s="153">
        <v>30275.200000000001</v>
      </c>
      <c r="D17" s="193">
        <v>31066.84</v>
      </c>
      <c r="E17" s="153" t="s">
        <v>86</v>
      </c>
      <c r="F17" s="165" t="s">
        <v>86</v>
      </c>
      <c r="G17" s="155">
        <v>5888.0599999999995</v>
      </c>
      <c r="H17" s="166">
        <v>5887.5499999999993</v>
      </c>
      <c r="I17" s="68">
        <v>5887.65</v>
      </c>
      <c r="J17" s="68">
        <v>5886.8</v>
      </c>
      <c r="K17" s="157">
        <f>$K$14+(30225-$F$14)*(($K$18-$K$14)/($F$18-$F$14))</f>
        <v>5885.9221312127229</v>
      </c>
      <c r="L17" s="167">
        <f>H17-G17</f>
        <v>-0.51000000000021828</v>
      </c>
      <c r="M17" s="160">
        <f>I17-G17</f>
        <v>-0.40999999999985448</v>
      </c>
      <c r="N17" s="72">
        <f t="shared" si="4"/>
        <v>-1.7278687872767478</v>
      </c>
      <c r="O17" s="72">
        <f t="shared" si="5"/>
        <v>-0.87786878727729345</v>
      </c>
      <c r="P17" s="73">
        <f t="shared" si="6"/>
        <v>-2.1378687872766022</v>
      </c>
      <c r="Q17" s="286"/>
      <c r="R17" s="287"/>
      <c r="S17" s="287"/>
      <c r="T17" s="287"/>
      <c r="U17" s="287"/>
      <c r="V17" s="287"/>
      <c r="W17" s="287"/>
      <c r="X17" s="288"/>
      <c r="Y17" s="170">
        <v>5888.5</v>
      </c>
      <c r="Z17" s="170">
        <v>5884.19</v>
      </c>
    </row>
    <row r="18" spans="1:26" x14ac:dyDescent="0.2">
      <c r="A18" s="74" t="s">
        <v>109</v>
      </c>
      <c r="B18" s="94" t="s">
        <v>86</v>
      </c>
      <c r="C18" s="44" t="s">
        <v>86</v>
      </c>
      <c r="D18" s="193">
        <f>D17-(112/3)</f>
        <v>31029.506666666668</v>
      </c>
      <c r="E18" s="44">
        <v>30199.68</v>
      </c>
      <c r="F18" s="109">
        <v>30199.680000000015</v>
      </c>
      <c r="G18" s="186">
        <f>$G$17+(146.67-220)*(($G$20-$G$17)/(0-220))</f>
        <v>5887.423362272727</v>
      </c>
      <c r="H18" s="187">
        <f>$H$17+(146.67-220)*(($H$20-$H$17)/(0-220))</f>
        <v>5887.0833545454543</v>
      </c>
      <c r="I18" s="185">
        <f>$I$17+(30201.9-$C$17)*(($I$20-$I$17)/($C$20-$C$17))</f>
        <v>5887.1868772727275</v>
      </c>
      <c r="J18" s="195">
        <f>$J$17+(D18-$D$17)*(($J$20-$J$17)/($D$20-$D$17))</f>
        <v>5886.6108444444444</v>
      </c>
      <c r="K18" s="69">
        <v>5884.86</v>
      </c>
      <c r="L18" s="75">
        <f>H18-G18</f>
        <v>-0.34000772727267758</v>
      </c>
      <c r="M18" s="72">
        <f>I18-G18</f>
        <v>-0.23648499999944761</v>
      </c>
      <c r="N18" s="72">
        <f t="shared" si="4"/>
        <v>-2.3268772727278701</v>
      </c>
      <c r="O18" s="72">
        <f t="shared" si="5"/>
        <v>-1.7508444444447377</v>
      </c>
      <c r="P18" s="73">
        <f t="shared" si="6"/>
        <v>-2.5633622727273178</v>
      </c>
      <c r="Q18" s="292"/>
      <c r="R18" s="293"/>
      <c r="S18" s="293"/>
      <c r="T18" s="293"/>
      <c r="U18" s="293"/>
      <c r="V18" s="293"/>
      <c r="W18" s="293"/>
      <c r="X18" s="294"/>
      <c r="Y18" s="171"/>
      <c r="Z18" s="171"/>
    </row>
    <row r="19" spans="1:26" x14ac:dyDescent="0.2">
      <c r="A19" s="74" t="s">
        <v>108</v>
      </c>
      <c r="B19" s="94" t="s">
        <v>86</v>
      </c>
      <c r="C19" s="44" t="s">
        <v>86</v>
      </c>
      <c r="D19" s="193">
        <f>D18-(112/3)</f>
        <v>30992.173333333336</v>
      </c>
      <c r="E19" s="44">
        <v>30161.48</v>
      </c>
      <c r="F19" s="109">
        <v>30161.480000000014</v>
      </c>
      <c r="G19" s="155">
        <f>$G$17+(73.34-220)*(($G$20-$G$17)/(0-220))</f>
        <v>5886.7867245454545</v>
      </c>
      <c r="H19" s="188">
        <f>$H$17+(73.34-220)*(($H$20-$H$17)/(0-220))</f>
        <v>5886.6167090909084</v>
      </c>
      <c r="I19" s="185">
        <f>$I$17+(30128.5-$C$17)*(($I$20-$I$17)/($C$20-$C$17))</f>
        <v>5886.7231227272723</v>
      </c>
      <c r="J19" s="195">
        <f>$J$17+(D19-$D$17)*(($J$20-$J$17)/($D$20-$D$17))</f>
        <v>5886.4216888888886</v>
      </c>
      <c r="K19" s="69">
        <v>5881.1</v>
      </c>
      <c r="L19" s="75">
        <f>H19-G19</f>
        <v>-0.17001545454604639</v>
      </c>
      <c r="M19" s="72">
        <f>I19-G19</f>
        <v>-6.3601818182178249E-2</v>
      </c>
      <c r="N19" s="72">
        <f t="shared" si="4"/>
        <v>-5.623122727271948</v>
      </c>
      <c r="O19" s="72">
        <f t="shared" si="5"/>
        <v>-5.321688888888275</v>
      </c>
      <c r="P19" s="73">
        <f t="shared" si="6"/>
        <v>-5.6867245454541262</v>
      </c>
      <c r="Q19" s="292"/>
      <c r="R19" s="293"/>
      <c r="S19" s="293"/>
      <c r="T19" s="293"/>
      <c r="U19" s="293"/>
      <c r="V19" s="293"/>
      <c r="W19" s="293"/>
      <c r="X19" s="294"/>
      <c r="Y19" s="171"/>
      <c r="Z19" s="171"/>
    </row>
    <row r="20" spans="1:26" x14ac:dyDescent="0.2">
      <c r="A20" s="63" t="s">
        <v>95</v>
      </c>
      <c r="B20" s="94">
        <v>30055.200000000001</v>
      </c>
      <c r="C20" s="79">
        <v>30055.200000000001</v>
      </c>
      <c r="D20" s="79">
        <v>30954.34</v>
      </c>
      <c r="E20" s="44" t="s">
        <v>86</v>
      </c>
      <c r="F20" s="149" t="s">
        <v>86</v>
      </c>
      <c r="G20" s="129">
        <v>5886.15</v>
      </c>
      <c r="H20" s="179">
        <v>5886.15</v>
      </c>
      <c r="I20" s="72">
        <v>5886.26</v>
      </c>
      <c r="J20" s="72">
        <v>5886.23</v>
      </c>
      <c r="K20" s="161">
        <f>$K$19+(30119-$F$19)*(($K$22-$K$19)/($F$22-$F$19))</f>
        <v>5880.8321985815601</v>
      </c>
      <c r="L20" s="75">
        <f t="shared" si="0"/>
        <v>0</v>
      </c>
      <c r="M20" s="71">
        <f>I20-G20</f>
        <v>0.11000000000058208</v>
      </c>
      <c r="N20" s="72">
        <f t="shared" si="4"/>
        <v>-5.42780141844014</v>
      </c>
      <c r="O20" s="72">
        <f t="shared" si="5"/>
        <v>-5.3978014184394851</v>
      </c>
      <c r="P20" s="73">
        <f t="shared" si="6"/>
        <v>-5.3178014184395579</v>
      </c>
      <c r="Q20" s="317"/>
      <c r="R20" s="318"/>
      <c r="S20" s="318"/>
      <c r="T20" s="318"/>
      <c r="U20" s="318"/>
      <c r="V20" s="318"/>
      <c r="W20" s="318"/>
      <c r="X20" s="319"/>
      <c r="Y20" s="171"/>
      <c r="Z20" s="171"/>
    </row>
    <row r="21" spans="1:26" x14ac:dyDescent="0.2">
      <c r="A21" s="173" t="s">
        <v>86</v>
      </c>
      <c r="B21" s="76" t="s">
        <v>86</v>
      </c>
      <c r="C21" s="76" t="s">
        <v>86</v>
      </c>
      <c r="D21" s="76">
        <v>30809.34</v>
      </c>
      <c r="E21" s="43" t="s">
        <v>86</v>
      </c>
      <c r="F21" s="149" t="s">
        <v>86</v>
      </c>
      <c r="G21" s="186">
        <f>$G$20+(1801.43-1940)*(($G$34-$G$20)/(0-1940))</f>
        <v>5884.9992975773193</v>
      </c>
      <c r="H21" s="189">
        <f>$H$20+(1801.43-1940)*(($H$34-$H$20)/(0-1940))</f>
        <v>5884.9992975773193</v>
      </c>
      <c r="I21" s="160">
        <f>$I$20+(29916.6-$C$20)*(($I$34-$I$20)/($C$34-$C$20))</f>
        <v>5885.0961886597943</v>
      </c>
      <c r="J21" s="68">
        <v>5884.29</v>
      </c>
      <c r="K21" s="161">
        <f>$K$19+(30076-$F$19)*(($K$22-$K$19)/($F$22-$F$19))</f>
        <v>5880.5611189913316</v>
      </c>
      <c r="L21" s="98">
        <f>H21-G21</f>
        <v>0</v>
      </c>
      <c r="M21" s="72">
        <f>I21-G21</f>
        <v>9.6891082474940049E-2</v>
      </c>
      <c r="N21" s="72">
        <f t="shared" si="4"/>
        <v>-4.535069668462711</v>
      </c>
      <c r="O21" s="72">
        <f t="shared" si="5"/>
        <v>-3.7288810086683952</v>
      </c>
      <c r="P21" s="73">
        <f t="shared" si="6"/>
        <v>-4.4381785859877709</v>
      </c>
      <c r="Q21" s="289"/>
      <c r="R21" s="290"/>
      <c r="S21" s="290"/>
      <c r="T21" s="290"/>
      <c r="U21" s="290"/>
      <c r="V21" s="290"/>
      <c r="W21" s="290"/>
      <c r="X21" s="291"/>
      <c r="Y21" s="171"/>
      <c r="Z21" s="171"/>
    </row>
    <row r="22" spans="1:26" x14ac:dyDescent="0.2">
      <c r="A22" s="173" t="s">
        <v>86</v>
      </c>
      <c r="B22" s="77" t="s">
        <v>86</v>
      </c>
      <c r="C22" s="77" t="s">
        <v>86</v>
      </c>
      <c r="D22" s="77">
        <v>30653.74</v>
      </c>
      <c r="E22" s="44">
        <v>30034.58</v>
      </c>
      <c r="F22" s="109">
        <v>30034.580000000013</v>
      </c>
      <c r="G22" s="155">
        <f>$G$20+(1662.86-1940)*(($G$34-$G$20)/(0-1940))</f>
        <v>5883.848595154639</v>
      </c>
      <c r="H22" s="189">
        <f>$H$20+(1662.86-1940)*(($H$34-$H$20)/(0-1940))</f>
        <v>5883.848595154639</v>
      </c>
      <c r="I22" s="160">
        <f>$I$20+(29778.1-$C$20)*(($I$34-$I$20)/($C$34-$C$20))</f>
        <v>5883.9332170103098</v>
      </c>
      <c r="J22" s="68">
        <v>5882.56</v>
      </c>
      <c r="K22" s="197">
        <v>5880.3</v>
      </c>
      <c r="L22" s="98">
        <f t="shared" ref="L22:L33" si="7">H22-G22</f>
        <v>0</v>
      </c>
      <c r="M22" s="72">
        <f t="shared" ref="M22:M33" si="8">I22-G22</f>
        <v>8.4621855670775403E-2</v>
      </c>
      <c r="N22" s="72">
        <f t="shared" si="4"/>
        <v>-3.633217010309636</v>
      </c>
      <c r="O22" s="72">
        <f t="shared" si="1"/>
        <v>-2.2600000000002183</v>
      </c>
      <c r="P22" s="73">
        <f t="shared" si="6"/>
        <v>-3.5485951546388605</v>
      </c>
      <c r="Q22" s="317"/>
      <c r="R22" s="318"/>
      <c r="S22" s="318"/>
      <c r="T22" s="318"/>
      <c r="U22" s="318"/>
      <c r="V22" s="318"/>
      <c r="W22" s="318"/>
      <c r="X22" s="319"/>
      <c r="Y22" s="171"/>
      <c r="Z22" s="171"/>
    </row>
    <row r="23" spans="1:26" x14ac:dyDescent="0.2">
      <c r="A23" s="173" t="s">
        <v>86</v>
      </c>
      <c r="B23" s="77" t="s">
        <v>86</v>
      </c>
      <c r="C23" s="76" t="s">
        <v>86</v>
      </c>
      <c r="D23" s="77">
        <v>30502.74</v>
      </c>
      <c r="E23" s="44">
        <v>29880.68</v>
      </c>
      <c r="F23" s="109">
        <v>29880.680000000011</v>
      </c>
      <c r="G23" s="155">
        <f>$G$20+(1528.29-1940)*(($G$34-$G$20)/(0-1940))</f>
        <v>5882.7311092268037</v>
      </c>
      <c r="H23" s="189">
        <f>$H$20+(1528.29-1940)*(($H$34-$H$20)/(0-1940))</f>
        <v>5882.7311092268037</v>
      </c>
      <c r="I23" s="160">
        <f>$I$20+(29639.5-$C$20)*(($I$34-$I$20)/($C$34-$C$20))</f>
        <v>5882.769405670103</v>
      </c>
      <c r="J23" s="68">
        <v>5881.76</v>
      </c>
      <c r="K23" s="197">
        <v>5879.89</v>
      </c>
      <c r="L23" s="98">
        <f t="shared" si="7"/>
        <v>0</v>
      </c>
      <c r="M23" s="72">
        <f t="shared" si="8"/>
        <v>3.8296443299259408E-2</v>
      </c>
      <c r="N23" s="72">
        <f t="shared" si="4"/>
        <v>-2.879405670102642</v>
      </c>
      <c r="O23" s="72">
        <f t="shared" si="1"/>
        <v>-1.8699999999998909</v>
      </c>
      <c r="P23" s="73">
        <f t="shared" si="6"/>
        <v>-2.8411092268033826</v>
      </c>
      <c r="Q23" s="314"/>
      <c r="R23" s="315"/>
      <c r="S23" s="315"/>
      <c r="T23" s="315"/>
      <c r="U23" s="315"/>
      <c r="V23" s="315"/>
      <c r="W23" s="315"/>
      <c r="X23" s="316"/>
      <c r="Y23" s="171"/>
      <c r="Z23" s="171"/>
    </row>
    <row r="24" spans="1:26" x14ac:dyDescent="0.2">
      <c r="A24" s="173" t="s">
        <v>86</v>
      </c>
      <c r="B24" s="79" t="s">
        <v>86</v>
      </c>
      <c r="C24" s="77" t="s">
        <v>86</v>
      </c>
      <c r="D24" s="77">
        <v>30337.84</v>
      </c>
      <c r="E24" s="44">
        <v>29695.38</v>
      </c>
      <c r="F24" s="109">
        <v>29695.380000000012</v>
      </c>
      <c r="G24" s="155">
        <f>$G$20+(1385.71-1940)*(($G$34-$G$20)/(0-1940))</f>
        <v>5881.5471072680411</v>
      </c>
      <c r="H24" s="189">
        <f>$H$20+(1385.71-1940)*(($H$34-$H$20)/(0-1940))</f>
        <v>5881.5471072680411</v>
      </c>
      <c r="I24" s="160">
        <f>$I$20+(29500.9-$C$20)*(($I$34-$I$20)/($C$34-$C$20))</f>
        <v>5881.605594329897</v>
      </c>
      <c r="J24" s="68">
        <v>5880.41</v>
      </c>
      <c r="K24" s="197">
        <v>5878.52</v>
      </c>
      <c r="L24" s="98">
        <f t="shared" si="7"/>
        <v>0</v>
      </c>
      <c r="M24" s="72">
        <f t="shared" si="8"/>
        <v>5.8487061855885258E-2</v>
      </c>
      <c r="N24" s="72">
        <f t="shared" si="4"/>
        <v>-3.085594329896594</v>
      </c>
      <c r="O24" s="72">
        <f t="shared" si="1"/>
        <v>-1.8899999999994179</v>
      </c>
      <c r="P24" s="73">
        <f t="shared" si="6"/>
        <v>-3.0271072680407087</v>
      </c>
      <c r="Q24" s="289"/>
      <c r="R24" s="290"/>
      <c r="S24" s="290"/>
      <c r="T24" s="290"/>
      <c r="U24" s="290"/>
      <c r="V24" s="290"/>
      <c r="W24" s="290"/>
      <c r="X24" s="291"/>
      <c r="Y24" s="171"/>
      <c r="Z24" s="171"/>
    </row>
    <row r="25" spans="1:26" x14ac:dyDescent="0.2">
      <c r="A25" s="173" t="s">
        <v>86</v>
      </c>
      <c r="B25" s="77" t="s">
        <v>86</v>
      </c>
      <c r="C25" s="76" t="s">
        <v>86</v>
      </c>
      <c r="D25" s="77">
        <v>30284.14</v>
      </c>
      <c r="E25" s="80">
        <v>29653.279999999999</v>
      </c>
      <c r="F25" s="109">
        <v>29653.280000000013</v>
      </c>
      <c r="G25" s="155">
        <f>$G$20+(1247.14-1940)*(($G$34-$G$20)/(0-1940))</f>
        <v>5880.3964048453608</v>
      </c>
      <c r="H25" s="189">
        <f>$H$20+(1247.14-1940)*(($H$34-$H$20)/(0-1940))</f>
        <v>5880.3964048453608</v>
      </c>
      <c r="I25" s="160">
        <f>$I$20+(29362.3-$C$20)*(($I$34-$I$20)/($C$34-$C$20))</f>
        <v>5880.4417829896911</v>
      </c>
      <c r="J25" s="68">
        <v>5879.28</v>
      </c>
      <c r="K25" s="197">
        <v>5876.17</v>
      </c>
      <c r="L25" s="98">
        <f t="shared" si="7"/>
        <v>0</v>
      </c>
      <c r="M25" s="72">
        <f t="shared" si="8"/>
        <v>4.5378144330243231E-2</v>
      </c>
      <c r="N25" s="72">
        <f t="shared" si="4"/>
        <v>-4.2717829896910189</v>
      </c>
      <c r="O25" s="72">
        <f t="shared" si="1"/>
        <v>-3.1099999999996726</v>
      </c>
      <c r="P25" s="73">
        <f t="shared" si="6"/>
        <v>-4.2264048453607757</v>
      </c>
      <c r="Q25" s="289"/>
      <c r="R25" s="290"/>
      <c r="S25" s="290"/>
      <c r="T25" s="290"/>
      <c r="U25" s="290"/>
      <c r="V25" s="290"/>
      <c r="W25" s="290"/>
      <c r="X25" s="291"/>
      <c r="Y25" s="171"/>
      <c r="Z25" s="171"/>
    </row>
    <row r="26" spans="1:26" x14ac:dyDescent="0.2">
      <c r="A26" s="173" t="s">
        <v>86</v>
      </c>
      <c r="B26" s="79" t="s">
        <v>86</v>
      </c>
      <c r="C26" s="77" t="s">
        <v>86</v>
      </c>
      <c r="D26" s="77">
        <v>30130.639999999999</v>
      </c>
      <c r="E26" s="80">
        <v>29534.58</v>
      </c>
      <c r="F26" s="109">
        <v>29534.580000000013</v>
      </c>
      <c r="G26" s="155">
        <f>$G$20+(1108.57-1940)*(($G$34-$G$20)/(0-1940))</f>
        <v>5879.2457024226806</v>
      </c>
      <c r="H26" s="189">
        <f>$H$20+(1108.57-1940)*(($H$34-$H$20)/(0-1940))</f>
        <v>5879.2457024226806</v>
      </c>
      <c r="I26" s="160">
        <f>$I$20+(29223.8-$C$20)*(($I$34-$I$20)/($C$34-$C$20))</f>
        <v>5879.2788113402066</v>
      </c>
      <c r="J26" s="68">
        <v>5878.13</v>
      </c>
      <c r="K26" s="197">
        <v>5875.52</v>
      </c>
      <c r="L26" s="98">
        <f t="shared" si="7"/>
        <v>0</v>
      </c>
      <c r="M26" s="72">
        <f t="shared" si="8"/>
        <v>3.3108917526078585E-2</v>
      </c>
      <c r="N26" s="72">
        <f t="shared" si="4"/>
        <v>-3.7588113402061936</v>
      </c>
      <c r="O26" s="72">
        <f t="shared" si="1"/>
        <v>-2.6099999999996726</v>
      </c>
      <c r="P26" s="73">
        <f t="shared" si="6"/>
        <v>-3.725702422680115</v>
      </c>
      <c r="Q26" s="289"/>
      <c r="R26" s="290"/>
      <c r="S26" s="290"/>
      <c r="T26" s="290"/>
      <c r="U26" s="290"/>
      <c r="V26" s="290"/>
      <c r="W26" s="290"/>
      <c r="X26" s="291"/>
      <c r="Y26" s="171"/>
      <c r="Z26" s="171"/>
    </row>
    <row r="27" spans="1:26" x14ac:dyDescent="0.2">
      <c r="A27" s="173" t="s">
        <v>86</v>
      </c>
      <c r="B27" s="77" t="s">
        <v>86</v>
      </c>
      <c r="C27" s="76" t="s">
        <v>86</v>
      </c>
      <c r="D27" s="77">
        <v>29954.639999999999</v>
      </c>
      <c r="E27" s="44">
        <v>29415.58</v>
      </c>
      <c r="F27" s="109">
        <v>29415.580000000013</v>
      </c>
      <c r="G27" s="155">
        <f>$G$20+(970-1940)*(($G$34-$G$20)/(0-1940))</f>
        <v>5878.0949999999993</v>
      </c>
      <c r="H27" s="189">
        <f>$H$20+(970-1940)*(($H$34-$H$20)/(0-1940))</f>
        <v>5878.0949999999993</v>
      </c>
      <c r="I27" s="160">
        <f>$I$20+(29085.2-$C$20)*(($I$34-$I$20)/($C$34-$C$20))</f>
        <v>5878.1149999999998</v>
      </c>
      <c r="J27" s="68">
        <v>5876.47</v>
      </c>
      <c r="K27" s="197">
        <v>5874.38</v>
      </c>
      <c r="L27" s="98">
        <f t="shared" si="7"/>
        <v>0</v>
      </c>
      <c r="M27" s="72">
        <f t="shared" si="8"/>
        <v>2.0000000000436557E-2</v>
      </c>
      <c r="N27" s="72">
        <f t="shared" si="4"/>
        <v>-3.7349999999996726</v>
      </c>
      <c r="O27" s="72">
        <f t="shared" si="1"/>
        <v>-2.0900000000001455</v>
      </c>
      <c r="P27" s="73">
        <f t="shared" si="6"/>
        <v>-3.714999999999236</v>
      </c>
      <c r="Q27" s="289"/>
      <c r="R27" s="290"/>
      <c r="S27" s="290"/>
      <c r="T27" s="290"/>
      <c r="U27" s="290"/>
      <c r="V27" s="290"/>
      <c r="W27" s="290"/>
      <c r="X27" s="291"/>
      <c r="Y27" s="171"/>
      <c r="Z27" s="171"/>
    </row>
    <row r="28" spans="1:26" x14ac:dyDescent="0.2">
      <c r="A28" s="173" t="s">
        <v>86</v>
      </c>
      <c r="B28" s="77" t="s">
        <v>86</v>
      </c>
      <c r="C28" s="77" t="s">
        <v>86</v>
      </c>
      <c r="D28" s="168">
        <f>D27-(97.3/2)</f>
        <v>29905.989999999998</v>
      </c>
      <c r="E28" s="44">
        <v>29372.28</v>
      </c>
      <c r="F28" s="109">
        <v>29372.280000000013</v>
      </c>
      <c r="G28" s="155">
        <f>$G$20+(831.43-1940)*(($G$34-$G$20)/(0-1940))</f>
        <v>5876.944297577319</v>
      </c>
      <c r="H28" s="189">
        <f>$H$20+(831.43-1940)*(($H$34-$H$20)/(0-1940))</f>
        <v>5876.944297577319</v>
      </c>
      <c r="I28" s="160">
        <f>$I$20+(28946.63-$C$20)*(($I$34-$I$20)/($C$34-$C$20))</f>
        <v>5876.9514405670106</v>
      </c>
      <c r="J28" s="195">
        <f>$J$27+(D28-$D$27)*(($J$29-$J$27)/($D$29-$D$27))</f>
        <v>5876.1849999999995</v>
      </c>
      <c r="K28" s="197">
        <v>5871.48</v>
      </c>
      <c r="L28" s="98">
        <f t="shared" si="7"/>
        <v>0</v>
      </c>
      <c r="M28" s="72">
        <f t="shared" si="8"/>
        <v>7.1429896916015423E-3</v>
      </c>
      <c r="N28" s="72">
        <f t="shared" si="4"/>
        <v>-5.4714405670110864</v>
      </c>
      <c r="O28" s="72">
        <f>K28-J28</f>
        <v>-4.7049999999999272</v>
      </c>
      <c r="P28" s="73">
        <f t="shared" si="6"/>
        <v>-5.4642975773194848</v>
      </c>
      <c r="Q28" s="292"/>
      <c r="R28" s="293"/>
      <c r="S28" s="293"/>
      <c r="T28" s="293"/>
      <c r="U28" s="293"/>
      <c r="V28" s="293"/>
      <c r="W28" s="293"/>
      <c r="X28" s="294"/>
      <c r="Y28" s="171"/>
      <c r="Z28" s="171"/>
    </row>
    <row r="29" spans="1:26" x14ac:dyDescent="0.2">
      <c r="A29" s="173" t="s">
        <v>86</v>
      </c>
      <c r="B29" s="79" t="s">
        <v>86</v>
      </c>
      <c r="C29" s="76" t="s">
        <v>86</v>
      </c>
      <c r="D29" s="77">
        <v>29857.34</v>
      </c>
      <c r="E29" s="44" t="s">
        <v>86</v>
      </c>
      <c r="F29" s="149" t="s">
        <v>86</v>
      </c>
      <c r="G29" s="155">
        <f>$G$20+(692.86-1940)*(($G$34-$G$20)/(0-1940))</f>
        <v>5875.7935951546388</v>
      </c>
      <c r="H29" s="189">
        <f>$H$20+(692.86-1940)*(($H$34-$H$20)/(0-1940))</f>
        <v>5875.7935951546388</v>
      </c>
      <c r="I29" s="160">
        <f>$I$20+(28808.06-$C$20)*(($I$34-$I$20)/($C$34-$C$20))</f>
        <v>5875.7878811340206</v>
      </c>
      <c r="J29" s="68">
        <v>5875.9</v>
      </c>
      <c r="K29" s="161">
        <f>$K$28+(29284-$F$28)*(($K$30-$K$28)/($F$30-$F$28))</f>
        <v>5870.9088354143014</v>
      </c>
      <c r="L29" s="98">
        <f t="shared" si="7"/>
        <v>0</v>
      </c>
      <c r="M29" s="72">
        <f t="shared" si="8"/>
        <v>-5.7140206181429676E-3</v>
      </c>
      <c r="N29" s="72">
        <f t="shared" si="4"/>
        <v>-4.8790457197192154</v>
      </c>
      <c r="O29" s="72">
        <f>K29-J29</f>
        <v>-4.9911645856982432</v>
      </c>
      <c r="P29" s="73">
        <f t="shared" si="6"/>
        <v>-4.8847597403373584</v>
      </c>
      <c r="Q29" s="326"/>
      <c r="R29" s="327"/>
      <c r="S29" s="327"/>
      <c r="T29" s="327"/>
      <c r="U29" s="327"/>
      <c r="V29" s="327"/>
      <c r="W29" s="327"/>
      <c r="X29" s="328"/>
      <c r="Y29" s="171"/>
      <c r="Z29" s="171"/>
    </row>
    <row r="30" spans="1:26" x14ac:dyDescent="0.2">
      <c r="A30" s="173" t="s">
        <v>86</v>
      </c>
      <c r="B30" s="77" t="s">
        <v>86</v>
      </c>
      <c r="C30" s="77" t="s">
        <v>86</v>
      </c>
      <c r="D30" s="77">
        <v>29669.74</v>
      </c>
      <c r="E30" s="44">
        <v>29196.080000000002</v>
      </c>
      <c r="F30" s="109">
        <v>29196.080000000013</v>
      </c>
      <c r="G30" s="155">
        <f>$G$20+(554.29-1940)*(($G$34-$G$20)/(0-1940))</f>
        <v>5874.6428927319585</v>
      </c>
      <c r="H30" s="189">
        <f>$H$20+(554.29-1940)*(($H$34-$H$20)/(0-1940))</f>
        <v>5874.6428927319585</v>
      </c>
      <c r="I30" s="160">
        <f>$I$20+(28669.5-$C$20)*(($I$34-$I$20)/($C$34-$C$20))</f>
        <v>5874.6244056701034</v>
      </c>
      <c r="J30" s="68">
        <v>5874.67</v>
      </c>
      <c r="K30" s="197">
        <v>5870.34</v>
      </c>
      <c r="L30" s="98">
        <f t="shared" si="7"/>
        <v>0</v>
      </c>
      <c r="M30" s="72">
        <f t="shared" si="8"/>
        <v>-1.8487061855012143E-2</v>
      </c>
      <c r="N30" s="72">
        <f t="shared" si="4"/>
        <v>-4.2844056701032969</v>
      </c>
      <c r="O30" s="72">
        <f t="shared" si="1"/>
        <v>-4.3299999999999272</v>
      </c>
      <c r="P30" s="73">
        <f t="shared" si="6"/>
        <v>-4.302892731958309</v>
      </c>
      <c r="Q30" s="329"/>
      <c r="R30" s="330"/>
      <c r="S30" s="330"/>
      <c r="T30" s="330"/>
      <c r="U30" s="330"/>
      <c r="V30" s="330"/>
      <c r="W30" s="330"/>
      <c r="X30" s="331"/>
      <c r="Y30" s="171"/>
      <c r="Z30" s="171"/>
    </row>
    <row r="31" spans="1:26" x14ac:dyDescent="0.2">
      <c r="A31" s="173" t="s">
        <v>86</v>
      </c>
      <c r="B31" s="77" t="s">
        <v>86</v>
      </c>
      <c r="C31" s="76" t="s">
        <v>86</v>
      </c>
      <c r="D31" s="77">
        <v>29456.54</v>
      </c>
      <c r="E31" s="44">
        <v>28960.98</v>
      </c>
      <c r="F31" s="109">
        <v>28960.980000000014</v>
      </c>
      <c r="G31" s="155">
        <f>$G$20+(415.7-1940)*(($G$34-$G$20)/(0-1940))</f>
        <v>5873.4920242268045</v>
      </c>
      <c r="H31" s="189">
        <f>$H$20+(415.7-1940)*(($H$34-$H$20)/(0-1940))</f>
        <v>5873.4920242268045</v>
      </c>
      <c r="I31" s="160">
        <f>$I$20+(28530.9-$C$20)*(($I$34-$I$20)/($C$34-$C$20))</f>
        <v>5873.4605943298975</v>
      </c>
      <c r="J31" s="72">
        <v>5872.58</v>
      </c>
      <c r="K31" s="197">
        <v>5868.79</v>
      </c>
      <c r="L31" s="98">
        <f t="shared" si="7"/>
        <v>0</v>
      </c>
      <c r="M31" s="72">
        <f t="shared" si="8"/>
        <v>-3.1429896906956856E-2</v>
      </c>
      <c r="N31" s="72">
        <f t="shared" si="4"/>
        <v>-4.6705943298975399</v>
      </c>
      <c r="O31" s="72">
        <f t="shared" si="1"/>
        <v>-3.7899999999999636</v>
      </c>
      <c r="P31" s="73">
        <f t="shared" si="6"/>
        <v>-4.7020242268044967</v>
      </c>
      <c r="Q31" s="289"/>
      <c r="R31" s="290"/>
      <c r="S31" s="290"/>
      <c r="T31" s="290"/>
      <c r="U31" s="290"/>
      <c r="V31" s="290"/>
      <c r="W31" s="290"/>
      <c r="X31" s="291"/>
      <c r="Y31" s="171"/>
      <c r="Z31" s="171"/>
    </row>
    <row r="32" spans="1:26" s="59" customFormat="1" ht="15" customHeight="1" x14ac:dyDescent="0.2">
      <c r="A32" s="173" t="s">
        <v>86</v>
      </c>
      <c r="B32" s="91" t="s">
        <v>86</v>
      </c>
      <c r="C32" s="77" t="s">
        <v>86</v>
      </c>
      <c r="D32" s="76">
        <v>29405.439999999999</v>
      </c>
      <c r="E32" s="43">
        <v>28922.28</v>
      </c>
      <c r="F32" s="109">
        <v>28922.280000000013</v>
      </c>
      <c r="G32" s="155">
        <f>$G$20+(277.14-1940)*(($G$34-$G$20)/(0-1940))</f>
        <v>5872.3414048453606</v>
      </c>
      <c r="H32" s="189">
        <f>$H$20+(277.14-1940)*(($H$34-$H$20)/(0-1940))</f>
        <v>5872.3414048453606</v>
      </c>
      <c r="I32" s="160">
        <f>$I$20+(28392.3-$C$20)*(($I$34-$I$20)/($C$34-$C$20))</f>
        <v>5872.2967829896907</v>
      </c>
      <c r="J32" s="82">
        <v>5872.04</v>
      </c>
      <c r="K32" s="69">
        <v>5866.49</v>
      </c>
      <c r="L32" s="98">
        <f t="shared" si="7"/>
        <v>0</v>
      </c>
      <c r="M32" s="72">
        <f t="shared" si="8"/>
        <v>-4.4621855669902288E-2</v>
      </c>
      <c r="N32" s="72">
        <f t="shared" si="4"/>
        <v>-5.8067829896908734</v>
      </c>
      <c r="O32" s="68">
        <f t="shared" si="1"/>
        <v>-5.5500000000001819</v>
      </c>
      <c r="P32" s="73">
        <f t="shared" si="6"/>
        <v>-5.8514048453607757</v>
      </c>
      <c r="Q32" s="320"/>
      <c r="R32" s="321"/>
      <c r="S32" s="321"/>
      <c r="T32" s="321"/>
      <c r="U32" s="321"/>
      <c r="V32" s="321"/>
      <c r="W32" s="321"/>
      <c r="X32" s="322"/>
      <c r="Y32" s="172"/>
      <c r="Z32" s="172"/>
    </row>
    <row r="33" spans="1:26" s="59" customFormat="1" x14ac:dyDescent="0.2">
      <c r="A33" s="173" t="s">
        <v>86</v>
      </c>
      <c r="B33" s="83" t="s">
        <v>86</v>
      </c>
      <c r="C33" s="76" t="s">
        <v>86</v>
      </c>
      <c r="D33" s="77">
        <v>28981.74</v>
      </c>
      <c r="E33" s="44">
        <v>28648.38</v>
      </c>
      <c r="F33" s="109">
        <v>28648.380000000012</v>
      </c>
      <c r="G33" s="155">
        <f>$G$20+(138.57-1940)*(($G$34-$G$20)/(0-1940))</f>
        <v>5871.1907024226803</v>
      </c>
      <c r="H33" s="189">
        <f>$H$20+(138.57-1940)*(($H$34-$H$20)/(0-1940))</f>
        <v>5871.1907024226803</v>
      </c>
      <c r="I33" s="160">
        <f>$I$20+(28253.8-$C$20)*(($I$34-$I$20)/($C$34-$C$20))</f>
        <v>5871.1338113402062</v>
      </c>
      <c r="J33" s="82">
        <v>5869.1</v>
      </c>
      <c r="K33" s="69">
        <v>5865.34</v>
      </c>
      <c r="L33" s="98">
        <f t="shared" si="7"/>
        <v>0</v>
      </c>
      <c r="M33" s="72">
        <f t="shared" si="8"/>
        <v>-5.6891082474066934E-2</v>
      </c>
      <c r="N33" s="72">
        <f t="shared" si="4"/>
        <v>-5.793811340206048</v>
      </c>
      <c r="O33" s="72">
        <f t="shared" si="1"/>
        <v>-3.7600000000002183</v>
      </c>
      <c r="P33" s="73">
        <f t="shared" si="6"/>
        <v>-5.850702422680115</v>
      </c>
      <c r="Q33" s="317"/>
      <c r="R33" s="318"/>
      <c r="S33" s="318"/>
      <c r="T33" s="318"/>
      <c r="U33" s="318"/>
      <c r="V33" s="318"/>
      <c r="W33" s="318"/>
      <c r="X33" s="319"/>
      <c r="Y33" s="172"/>
      <c r="Z33" s="172"/>
    </row>
    <row r="34" spans="1:26" s="162" customFormat="1" x14ac:dyDescent="0.2">
      <c r="A34" s="163" t="s">
        <v>96</v>
      </c>
      <c r="B34" s="168">
        <v>28115.200000000001</v>
      </c>
      <c r="C34" s="168">
        <v>28115.200000000001</v>
      </c>
      <c r="D34" s="168">
        <v>28779.14</v>
      </c>
      <c r="E34" s="169">
        <v>28432.880000000001</v>
      </c>
      <c r="F34" s="154">
        <v>28432.880000000012</v>
      </c>
      <c r="G34" s="155">
        <v>5870.04</v>
      </c>
      <c r="H34" s="180">
        <v>5870.04</v>
      </c>
      <c r="I34" s="68">
        <v>5869.97</v>
      </c>
      <c r="J34" s="82">
        <v>5868.11</v>
      </c>
      <c r="K34" s="69">
        <v>5864.67</v>
      </c>
      <c r="L34" s="167">
        <f t="shared" ref="L34:L98" si="9">H34-G34</f>
        <v>0</v>
      </c>
      <c r="M34" s="160">
        <f t="shared" ref="M34:M146" si="10">I34-G34</f>
        <v>-6.9999999999708962E-2</v>
      </c>
      <c r="N34" s="160">
        <f t="shared" ref="N34:N146" si="11">K34-I34</f>
        <v>-5.3000000000001819</v>
      </c>
      <c r="O34" s="160">
        <f t="shared" si="1"/>
        <v>-3.4399999999995998</v>
      </c>
      <c r="P34" s="161">
        <f t="shared" si="2"/>
        <v>-5.3699999999998909</v>
      </c>
      <c r="Q34" s="286"/>
      <c r="R34" s="287"/>
      <c r="S34" s="287"/>
      <c r="T34" s="287"/>
      <c r="U34" s="287"/>
      <c r="V34" s="287"/>
      <c r="W34" s="287"/>
      <c r="X34" s="288"/>
      <c r="Y34" s="170">
        <v>5864.7</v>
      </c>
      <c r="Z34" s="170">
        <v>5866.45</v>
      </c>
    </row>
    <row r="35" spans="1:26" s="59" customFormat="1" x14ac:dyDescent="0.2">
      <c r="A35" s="75" t="s">
        <v>86</v>
      </c>
      <c r="B35" s="83" t="s">
        <v>86</v>
      </c>
      <c r="C35" s="192">
        <f>C34-(1970/15)</f>
        <v>27983.866666666669</v>
      </c>
      <c r="D35" s="77">
        <v>28704.639999999999</v>
      </c>
      <c r="E35" s="44">
        <v>28369.68</v>
      </c>
      <c r="F35" s="109">
        <v>28369.680000000011</v>
      </c>
      <c r="G35" s="186">
        <f>$G$34+(1838.66-1970)*(($G$49-$G$34)/(0-1970))</f>
        <v>5868.503922030457</v>
      </c>
      <c r="H35" s="189">
        <f>$H$34+(1838.66-1970)*(($H$49-$H$34)/(0-1970))</f>
        <v>5868.503922030457</v>
      </c>
      <c r="I35" s="160">
        <f>$I$34+(C35-$C$34)*(($I$49-$I$34)/($C$49-$C$34))</f>
        <v>5868.4400000000005</v>
      </c>
      <c r="J35" s="82">
        <v>5867.32</v>
      </c>
      <c r="K35" s="69">
        <v>5863.75</v>
      </c>
      <c r="L35" s="75">
        <f>H35-G35</f>
        <v>0</v>
      </c>
      <c r="M35" s="72">
        <f>I35-G35</f>
        <v>-6.3922030456524226E-2</v>
      </c>
      <c r="N35" s="72">
        <f>K35-I35</f>
        <v>-4.6900000000005093</v>
      </c>
      <c r="O35" s="72">
        <f t="shared" si="1"/>
        <v>-3.569999999999709</v>
      </c>
      <c r="P35" s="73">
        <f>K35-G35</f>
        <v>-4.7539220304570335</v>
      </c>
      <c r="Q35" s="320"/>
      <c r="R35" s="321"/>
      <c r="S35" s="321"/>
      <c r="T35" s="321"/>
      <c r="U35" s="321"/>
      <c r="V35" s="321"/>
      <c r="W35" s="321"/>
      <c r="X35" s="322"/>
      <c r="Y35" s="172"/>
      <c r="Z35" s="172"/>
    </row>
    <row r="36" spans="1:26" s="59" customFormat="1" x14ac:dyDescent="0.2">
      <c r="A36" s="75" t="s">
        <v>86</v>
      </c>
      <c r="B36" s="83" t="s">
        <v>86</v>
      </c>
      <c r="C36" s="192">
        <f t="shared" ref="C36:C48" si="12">C35-(1970/15)</f>
        <v>27852.533333333336</v>
      </c>
      <c r="D36" s="77">
        <v>28652.639999999999</v>
      </c>
      <c r="E36" s="44">
        <v>28326.28</v>
      </c>
      <c r="F36" s="109">
        <v>28326.28000000001</v>
      </c>
      <c r="G36" s="155">
        <f>$G$34+(1707.3-1970)*(($G$49-$G$34)/(0-1970))</f>
        <v>5866.9676101522846</v>
      </c>
      <c r="H36" s="189">
        <f>$H$34+(1707.3-1970)*(($H$49-$H$34)/(0-1970))</f>
        <v>5866.9676101522846</v>
      </c>
      <c r="I36" s="160">
        <f t="shared" ref="I36:I48" si="13">$I$34+(C36-$C$34)*(($I$49-$I$34)/($C$49-$C$34))</f>
        <v>5866.91</v>
      </c>
      <c r="J36" s="82">
        <v>5867.05</v>
      </c>
      <c r="K36" s="69">
        <v>5860.41</v>
      </c>
      <c r="L36" s="75">
        <f t="shared" ref="L36:L48" si="14">H36-G36</f>
        <v>0</v>
      </c>
      <c r="M36" s="72">
        <f t="shared" ref="M36:M48" si="15">I36-G36</f>
        <v>-5.7610152284723881E-2</v>
      </c>
      <c r="N36" s="72">
        <f t="shared" ref="N36:N48" si="16">K36-I36</f>
        <v>-6.5</v>
      </c>
      <c r="O36" s="72">
        <f t="shared" si="1"/>
        <v>-6.6400000000003274</v>
      </c>
      <c r="P36" s="73">
        <f t="shared" ref="P36:P48" si="17">K36-G36</f>
        <v>-6.5576101522847239</v>
      </c>
      <c r="Q36" s="320"/>
      <c r="R36" s="321"/>
      <c r="S36" s="321"/>
      <c r="T36" s="321"/>
      <c r="U36" s="321"/>
      <c r="V36" s="321"/>
      <c r="W36" s="321"/>
      <c r="X36" s="322"/>
      <c r="Y36" s="172"/>
      <c r="Z36" s="172"/>
    </row>
    <row r="37" spans="1:26" s="59" customFormat="1" x14ac:dyDescent="0.2">
      <c r="A37" s="75" t="s">
        <v>86</v>
      </c>
      <c r="B37" s="83" t="s">
        <v>86</v>
      </c>
      <c r="C37" s="168">
        <f t="shared" si="12"/>
        <v>27721.200000000004</v>
      </c>
      <c r="D37" s="77">
        <v>28498.54</v>
      </c>
      <c r="E37" s="44">
        <v>28124.080000000002</v>
      </c>
      <c r="F37" s="109">
        <v>28124.080000000009</v>
      </c>
      <c r="G37" s="155">
        <f>$G$34+(1576-1970)*(($G$49-$G$34)/(0-1970))</f>
        <v>5865.4319999999998</v>
      </c>
      <c r="H37" s="189">
        <f>$H$34+(1576-1970)*(($H$49-$H$34)/(0-1970))</f>
        <v>5865.4319999999998</v>
      </c>
      <c r="I37" s="160">
        <f t="shared" si="13"/>
        <v>5865.38</v>
      </c>
      <c r="J37" s="82">
        <v>5864.99</v>
      </c>
      <c r="K37" s="69">
        <v>5859.6</v>
      </c>
      <c r="L37" s="75">
        <f t="shared" si="14"/>
        <v>0</v>
      </c>
      <c r="M37" s="72">
        <f t="shared" si="15"/>
        <v>-5.1999999999679858E-2</v>
      </c>
      <c r="N37" s="72">
        <f t="shared" si="16"/>
        <v>-5.7799999999997453</v>
      </c>
      <c r="O37" s="72">
        <f t="shared" si="1"/>
        <v>-5.3899999999994179</v>
      </c>
      <c r="P37" s="73">
        <f t="shared" si="17"/>
        <v>-5.8319999999994252</v>
      </c>
      <c r="Q37" s="323"/>
      <c r="R37" s="324"/>
      <c r="S37" s="324"/>
      <c r="T37" s="324"/>
      <c r="U37" s="324"/>
      <c r="V37" s="324"/>
      <c r="W37" s="324"/>
      <c r="X37" s="325"/>
      <c r="Y37" s="172"/>
      <c r="Z37" s="172"/>
    </row>
    <row r="38" spans="1:26" s="59" customFormat="1" x14ac:dyDescent="0.2">
      <c r="A38" s="75" t="s">
        <v>86</v>
      </c>
      <c r="B38" s="83" t="s">
        <v>86</v>
      </c>
      <c r="C38" s="192">
        <f t="shared" si="12"/>
        <v>27589.866666666672</v>
      </c>
      <c r="D38" s="77">
        <v>28292.74</v>
      </c>
      <c r="E38" s="44">
        <v>27850.78</v>
      </c>
      <c r="F38" s="109">
        <v>27850.78000000001</v>
      </c>
      <c r="G38" s="155">
        <f>$G$34+(1444.66-1970)*(($G$49-$G$34)/(0-1970))</f>
        <v>5863.8959220304569</v>
      </c>
      <c r="H38" s="189">
        <f>$H$34+(1444.66-1970)*(($H$49-$H$34)/(0-1970))</f>
        <v>5863.8959220304569</v>
      </c>
      <c r="I38" s="160">
        <f t="shared" si="13"/>
        <v>5863.85</v>
      </c>
      <c r="J38" s="82">
        <v>5863.27</v>
      </c>
      <c r="K38" s="69">
        <v>5858.87</v>
      </c>
      <c r="L38" s="75">
        <f t="shared" si="14"/>
        <v>0</v>
      </c>
      <c r="M38" s="72">
        <f t="shared" si="15"/>
        <v>-4.5922030456495122E-2</v>
      </c>
      <c r="N38" s="72">
        <f t="shared" si="16"/>
        <v>-4.9800000000004729</v>
      </c>
      <c r="O38" s="72">
        <f t="shared" si="1"/>
        <v>-4.4000000000005457</v>
      </c>
      <c r="P38" s="73">
        <f t="shared" si="17"/>
        <v>-5.0259220304569681</v>
      </c>
      <c r="Q38" s="323"/>
      <c r="R38" s="324"/>
      <c r="S38" s="324"/>
      <c r="T38" s="324"/>
      <c r="U38" s="324"/>
      <c r="V38" s="324"/>
      <c r="W38" s="324"/>
      <c r="X38" s="325"/>
      <c r="Y38" s="172"/>
      <c r="Z38" s="172"/>
    </row>
    <row r="39" spans="1:26" s="59" customFormat="1" x14ac:dyDescent="0.2">
      <c r="A39" s="75" t="s">
        <v>86</v>
      </c>
      <c r="B39" s="83" t="s">
        <v>86</v>
      </c>
      <c r="C39" s="192">
        <f t="shared" si="12"/>
        <v>27458.53333333334</v>
      </c>
      <c r="D39" s="77">
        <v>28230.54</v>
      </c>
      <c r="E39" s="44">
        <v>27701.58</v>
      </c>
      <c r="F39" s="109">
        <v>27701.580000000009</v>
      </c>
      <c r="G39" s="155">
        <f>$G$34+(1313.333-1970)*(($G$49-$G$34)/(0-1970))</f>
        <v>5862.3599961015225</v>
      </c>
      <c r="H39" s="189">
        <f>$H$34+(1313.333-1970)*(($H$49-$H$34)/(0-1970))</f>
        <v>5862.3599961015225</v>
      </c>
      <c r="I39" s="160">
        <f t="shared" si="13"/>
        <v>5862.3200000000006</v>
      </c>
      <c r="J39" s="82">
        <v>5862.28</v>
      </c>
      <c r="K39" s="69">
        <v>5857.58</v>
      </c>
      <c r="L39" s="75">
        <f t="shared" si="14"/>
        <v>0</v>
      </c>
      <c r="M39" s="72">
        <f t="shared" si="15"/>
        <v>-3.9996101521865057E-2</v>
      </c>
      <c r="N39" s="72">
        <f t="shared" si="16"/>
        <v>-4.7400000000006912</v>
      </c>
      <c r="O39" s="72">
        <f t="shared" si="1"/>
        <v>-4.6999999999998181</v>
      </c>
      <c r="P39" s="73">
        <f t="shared" si="17"/>
        <v>-4.7799961015225563</v>
      </c>
      <c r="Q39" s="323"/>
      <c r="R39" s="324"/>
      <c r="S39" s="324"/>
      <c r="T39" s="324"/>
      <c r="U39" s="324"/>
      <c r="V39" s="324"/>
      <c r="W39" s="324"/>
      <c r="X39" s="325"/>
      <c r="Y39" s="172"/>
      <c r="Z39" s="172"/>
    </row>
    <row r="40" spans="1:26" s="59" customFormat="1" x14ac:dyDescent="0.2">
      <c r="A40" s="75" t="s">
        <v>86</v>
      </c>
      <c r="B40" s="83" t="s">
        <v>86</v>
      </c>
      <c r="C40" s="192">
        <f t="shared" si="12"/>
        <v>27327.200000000008</v>
      </c>
      <c r="D40" s="77">
        <v>28124.14</v>
      </c>
      <c r="E40" s="44">
        <v>27656.18</v>
      </c>
      <c r="F40" s="109">
        <v>27656.180000000008</v>
      </c>
      <c r="G40" s="155">
        <f>$G$34+(1182-1970)*(($G$49-$G$34)/(0-1970))</f>
        <v>5860.8239999999996</v>
      </c>
      <c r="H40" s="189">
        <f>$H$34+(1182-1970)*(($H$49-$H$34)/(0-1970))</f>
        <v>5860.8239999999996</v>
      </c>
      <c r="I40" s="160">
        <f t="shared" si="13"/>
        <v>5860.79</v>
      </c>
      <c r="J40" s="82">
        <v>5862.1</v>
      </c>
      <c r="K40" s="69">
        <v>5854.65</v>
      </c>
      <c r="L40" s="75">
        <f t="shared" si="14"/>
        <v>0</v>
      </c>
      <c r="M40" s="72">
        <f t="shared" si="15"/>
        <v>-3.3999999999650754E-2</v>
      </c>
      <c r="N40" s="72">
        <f t="shared" si="16"/>
        <v>-6.1400000000003274</v>
      </c>
      <c r="O40" s="72">
        <f t="shared" si="1"/>
        <v>-7.4500000000007276</v>
      </c>
      <c r="P40" s="73">
        <f t="shared" si="17"/>
        <v>-6.1739999999999782</v>
      </c>
      <c r="Q40" s="323"/>
      <c r="R40" s="324"/>
      <c r="S40" s="324"/>
      <c r="T40" s="324"/>
      <c r="U40" s="324"/>
      <c r="V40" s="324"/>
      <c r="W40" s="324"/>
      <c r="X40" s="325"/>
      <c r="Y40" s="172"/>
      <c r="Z40" s="172"/>
    </row>
    <row r="41" spans="1:26" s="59" customFormat="1" x14ac:dyDescent="0.2">
      <c r="A41" s="75" t="s">
        <v>86</v>
      </c>
      <c r="B41" s="83" t="s">
        <v>86</v>
      </c>
      <c r="C41" s="192">
        <f t="shared" si="12"/>
        <v>27195.866666666676</v>
      </c>
      <c r="D41" s="77">
        <v>27942.240000000002</v>
      </c>
      <c r="E41" s="44">
        <v>27454.98</v>
      </c>
      <c r="F41" s="109">
        <v>27454.980000000007</v>
      </c>
      <c r="G41" s="155">
        <f>$G$34+(1050.66-1970)*(($G$49-$G$34)/(0-1970))</f>
        <v>5859.2879220304567</v>
      </c>
      <c r="H41" s="189">
        <f>$H$34+(1050.66-1970)*(($H$49-$H$34)/(0-1970))</f>
        <v>5859.2879220304567</v>
      </c>
      <c r="I41" s="160">
        <f t="shared" si="13"/>
        <v>5859.26</v>
      </c>
      <c r="J41" s="82">
        <v>5858.88</v>
      </c>
      <c r="K41" s="69">
        <v>5853.47</v>
      </c>
      <c r="L41" s="75">
        <f t="shared" si="14"/>
        <v>0</v>
      </c>
      <c r="M41" s="72">
        <f t="shared" si="15"/>
        <v>-2.7922030456466018E-2</v>
      </c>
      <c r="N41" s="72">
        <f t="shared" si="16"/>
        <v>-5.7899999999999636</v>
      </c>
      <c r="O41" s="72">
        <f t="shared" si="1"/>
        <v>-5.4099999999998545</v>
      </c>
      <c r="P41" s="73">
        <f t="shared" si="17"/>
        <v>-5.8179220304564296</v>
      </c>
      <c r="Q41" s="323"/>
      <c r="R41" s="324"/>
      <c r="S41" s="324"/>
      <c r="T41" s="324"/>
      <c r="U41" s="324"/>
      <c r="V41" s="324"/>
      <c r="W41" s="324"/>
      <c r="X41" s="325"/>
      <c r="Y41" s="172"/>
      <c r="Z41" s="172"/>
    </row>
    <row r="42" spans="1:26" s="59" customFormat="1" x14ac:dyDescent="0.2">
      <c r="A42" s="75" t="s">
        <v>86</v>
      </c>
      <c r="B42" s="83" t="s">
        <v>86</v>
      </c>
      <c r="C42" s="192">
        <f t="shared" si="12"/>
        <v>27064.533333333344</v>
      </c>
      <c r="D42" s="77">
        <v>27602.639999999999</v>
      </c>
      <c r="E42" s="44">
        <v>27264.48</v>
      </c>
      <c r="F42" s="109">
        <v>27264.480000000007</v>
      </c>
      <c r="G42" s="155">
        <f>$G$34+(919.33-1970)*(($G$49-$G$34)/(0-1970))</f>
        <v>5857.7519610152285</v>
      </c>
      <c r="H42" s="189">
        <f>$H$34+(919.33-1970)*(($H$49-$H$34)/(0-1970))</f>
        <v>5857.7519610152285</v>
      </c>
      <c r="I42" s="160">
        <f t="shared" si="13"/>
        <v>5857.7300000000005</v>
      </c>
      <c r="J42" s="82">
        <v>5855.08</v>
      </c>
      <c r="K42" s="69">
        <v>5852.03</v>
      </c>
      <c r="L42" s="75">
        <f t="shared" si="14"/>
        <v>0</v>
      </c>
      <c r="M42" s="72">
        <f t="shared" si="15"/>
        <v>-2.1961015228043834E-2</v>
      </c>
      <c r="N42" s="72">
        <f t="shared" si="16"/>
        <v>-5.7000000000007276</v>
      </c>
      <c r="O42" s="72">
        <f t="shared" si="1"/>
        <v>-3.0500000000001819</v>
      </c>
      <c r="P42" s="73">
        <f t="shared" si="17"/>
        <v>-5.7219610152287714</v>
      </c>
      <c r="Q42" s="323"/>
      <c r="R42" s="324"/>
      <c r="S42" s="324"/>
      <c r="T42" s="324"/>
      <c r="U42" s="324"/>
      <c r="V42" s="324"/>
      <c r="W42" s="324"/>
      <c r="X42" s="325"/>
      <c r="Y42" s="172"/>
      <c r="Z42" s="172"/>
    </row>
    <row r="43" spans="1:26" s="59" customFormat="1" x14ac:dyDescent="0.2">
      <c r="A43" s="75" t="s">
        <v>86</v>
      </c>
      <c r="B43" s="83" t="s">
        <v>86</v>
      </c>
      <c r="C43" s="192">
        <f t="shared" si="12"/>
        <v>26933.200000000012</v>
      </c>
      <c r="D43" s="77">
        <v>27560.14</v>
      </c>
      <c r="E43" s="44">
        <v>27223.08</v>
      </c>
      <c r="F43" s="109">
        <v>27223.080000000005</v>
      </c>
      <c r="G43" s="155">
        <f>$G$34+(788-1970)*(($G$49-$G$34)/(0-1970))</f>
        <v>5856.2160000000003</v>
      </c>
      <c r="H43" s="189">
        <f>$H$34+(788-1970)*(($H$49-$H$34)/(0-1970))</f>
        <v>5856.2160000000003</v>
      </c>
      <c r="I43" s="160">
        <f t="shared" si="13"/>
        <v>5856.2000000000007</v>
      </c>
      <c r="J43" s="82">
        <v>5853.49</v>
      </c>
      <c r="K43" s="69">
        <v>5848.93</v>
      </c>
      <c r="L43" s="75">
        <f t="shared" si="14"/>
        <v>0</v>
      </c>
      <c r="M43" s="72">
        <f t="shared" si="15"/>
        <v>-1.599999999962165E-2</v>
      </c>
      <c r="N43" s="72">
        <f t="shared" si="16"/>
        <v>-7.2700000000004366</v>
      </c>
      <c r="O43" s="72">
        <f t="shared" si="1"/>
        <v>-4.5599999999994907</v>
      </c>
      <c r="P43" s="73">
        <f t="shared" si="17"/>
        <v>-7.2860000000000582</v>
      </c>
      <c r="Q43" s="323"/>
      <c r="R43" s="324"/>
      <c r="S43" s="324"/>
      <c r="T43" s="324"/>
      <c r="U43" s="324"/>
      <c r="V43" s="324"/>
      <c r="W43" s="324"/>
      <c r="X43" s="325"/>
      <c r="Y43" s="172"/>
      <c r="Z43" s="172"/>
    </row>
    <row r="44" spans="1:26" s="59" customFormat="1" x14ac:dyDescent="0.2">
      <c r="A44" s="75" t="s">
        <v>86</v>
      </c>
      <c r="B44" s="83" t="s">
        <v>86</v>
      </c>
      <c r="C44" s="192">
        <f t="shared" si="12"/>
        <v>26801.86666666668</v>
      </c>
      <c r="D44" s="77">
        <v>27365.94</v>
      </c>
      <c r="E44" s="44">
        <v>26917.58</v>
      </c>
      <c r="F44" s="109">
        <v>26917.580000000005</v>
      </c>
      <c r="G44" s="155">
        <f>$G$34+(656.66-1970)*(($G$49-$G$34)/(0-1970))</f>
        <v>5854.6799220304565</v>
      </c>
      <c r="H44" s="189">
        <f>$H$34+(656.66-1970)*(($H$49-$H$34)/(0-1970))</f>
        <v>5854.6799220304565</v>
      </c>
      <c r="I44" s="160">
        <f t="shared" si="13"/>
        <v>5854.67</v>
      </c>
      <c r="J44" s="82">
        <v>5851.67</v>
      </c>
      <c r="K44" s="69">
        <v>5847.67</v>
      </c>
      <c r="L44" s="75">
        <f t="shared" si="14"/>
        <v>0</v>
      </c>
      <c r="M44" s="72">
        <f t="shared" si="15"/>
        <v>-9.9220304564369144E-3</v>
      </c>
      <c r="N44" s="72">
        <f t="shared" si="16"/>
        <v>-7</v>
      </c>
      <c r="O44" s="72">
        <f t="shared" si="1"/>
        <v>-4</v>
      </c>
      <c r="P44" s="73">
        <f t="shared" si="17"/>
        <v>-7.0099220304564369</v>
      </c>
      <c r="Q44" s="323"/>
      <c r="R44" s="324"/>
      <c r="S44" s="324"/>
      <c r="T44" s="324"/>
      <c r="U44" s="324"/>
      <c r="V44" s="324"/>
      <c r="W44" s="324"/>
      <c r="X44" s="325"/>
      <c r="Y44" s="172"/>
      <c r="Z44" s="172"/>
    </row>
    <row r="45" spans="1:26" s="59" customFormat="1" x14ac:dyDescent="0.2">
      <c r="A45" s="78" t="s">
        <v>86</v>
      </c>
      <c r="B45" s="83" t="s">
        <v>86</v>
      </c>
      <c r="C45" s="192">
        <f t="shared" si="12"/>
        <v>26670.533333333347</v>
      </c>
      <c r="D45" s="77">
        <v>27123.64</v>
      </c>
      <c r="E45" s="44">
        <v>26689.279999999999</v>
      </c>
      <c r="F45" s="109">
        <v>26689.280000000006</v>
      </c>
      <c r="G45" s="155">
        <f>$G$34+(525.33-1970)*(($G$49-$G$34)/(0-1970))</f>
        <v>5853.1439610152283</v>
      </c>
      <c r="H45" s="189">
        <f>$H$34+(525.33-1970)*(($H$49-$H$34)/(0-1970))</f>
        <v>5853.1439610152283</v>
      </c>
      <c r="I45" s="160">
        <f t="shared" si="13"/>
        <v>5853.14</v>
      </c>
      <c r="J45" s="82">
        <v>5848.49</v>
      </c>
      <c r="K45" s="69">
        <v>5846.17</v>
      </c>
      <c r="L45" s="75">
        <f t="shared" si="14"/>
        <v>0</v>
      </c>
      <c r="M45" s="72">
        <f t="shared" si="15"/>
        <v>-3.9610152280147304E-3</v>
      </c>
      <c r="N45" s="72">
        <f t="shared" si="16"/>
        <v>-6.9700000000002547</v>
      </c>
      <c r="O45" s="72">
        <f t="shared" si="1"/>
        <v>-2.319999999999709</v>
      </c>
      <c r="P45" s="73">
        <f t="shared" si="17"/>
        <v>-6.9739610152282694</v>
      </c>
      <c r="Q45" s="323"/>
      <c r="R45" s="324"/>
      <c r="S45" s="324"/>
      <c r="T45" s="324"/>
      <c r="U45" s="324"/>
      <c r="V45" s="324"/>
      <c r="W45" s="324"/>
      <c r="X45" s="325"/>
      <c r="Y45" s="172"/>
      <c r="Z45" s="172"/>
    </row>
    <row r="46" spans="1:26" s="59" customFormat="1" x14ac:dyDescent="0.2">
      <c r="A46" s="75" t="s">
        <v>86</v>
      </c>
      <c r="B46" s="83" t="s">
        <v>86</v>
      </c>
      <c r="C46" s="192">
        <f t="shared" si="12"/>
        <v>26539.200000000015</v>
      </c>
      <c r="D46" s="77">
        <v>27079.14</v>
      </c>
      <c r="E46" s="44">
        <v>26648.28</v>
      </c>
      <c r="F46" s="109">
        <v>26648.280000000006</v>
      </c>
      <c r="G46" s="155">
        <f>$G$34+(394-1970)*(($G$49-$G$34)/(0-1970))</f>
        <v>5851.6080000000002</v>
      </c>
      <c r="H46" s="189">
        <f>$H$34+(394-1970)*(($H$49-$H$34)/(0-1970))</f>
        <v>5851.6080000000002</v>
      </c>
      <c r="I46" s="160">
        <f t="shared" si="13"/>
        <v>5851.6100000000006</v>
      </c>
      <c r="J46" s="82">
        <v>5847.98</v>
      </c>
      <c r="K46" s="69">
        <v>5843.15</v>
      </c>
      <c r="L46" s="75">
        <f t="shared" si="14"/>
        <v>0</v>
      </c>
      <c r="M46" s="72">
        <f t="shared" si="15"/>
        <v>2.0000000004074536E-3</v>
      </c>
      <c r="N46" s="72">
        <f t="shared" si="16"/>
        <v>-8.4600000000009459</v>
      </c>
      <c r="O46" s="72">
        <f t="shared" si="1"/>
        <v>-4.8299999999999272</v>
      </c>
      <c r="P46" s="73">
        <f t="shared" si="17"/>
        <v>-8.4580000000005384</v>
      </c>
      <c r="Q46" s="323"/>
      <c r="R46" s="324"/>
      <c r="S46" s="324"/>
      <c r="T46" s="324"/>
      <c r="U46" s="324"/>
      <c r="V46" s="324"/>
      <c r="W46" s="324"/>
      <c r="X46" s="325"/>
      <c r="Y46" s="172"/>
      <c r="Z46" s="172"/>
    </row>
    <row r="47" spans="1:26" s="59" customFormat="1" x14ac:dyDescent="0.2">
      <c r="A47" s="75" t="s">
        <v>86</v>
      </c>
      <c r="B47" s="83" t="s">
        <v>86</v>
      </c>
      <c r="C47" s="192">
        <f t="shared" si="12"/>
        <v>26407.866666666683</v>
      </c>
      <c r="D47" s="168">
        <f>D46-(191.1/2)</f>
        <v>26983.59</v>
      </c>
      <c r="E47" s="44">
        <v>26570.28</v>
      </c>
      <c r="F47" s="109">
        <v>26570.280000000006</v>
      </c>
      <c r="G47" s="155">
        <f>$G$34+(262.66-1970)*(($G$49-$G$34)/(0-1970))</f>
        <v>5850.0719220304572</v>
      </c>
      <c r="H47" s="189">
        <f>$H$34+(262.66-1970)*(($H$49-$H$34)/(0-1970))</f>
        <v>5850.0719220304572</v>
      </c>
      <c r="I47" s="160">
        <f t="shared" si="13"/>
        <v>5850.0800000000008</v>
      </c>
      <c r="J47" s="198">
        <f>$J$46+(D47-$D$46)*(($J$48-$J$46)/($D$48-$D$46))</f>
        <v>5847.17</v>
      </c>
      <c r="K47" s="69">
        <v>5842</v>
      </c>
      <c r="L47" s="75">
        <f t="shared" si="14"/>
        <v>0</v>
      </c>
      <c r="M47" s="72">
        <f t="shared" si="15"/>
        <v>8.0779695435921894E-3</v>
      </c>
      <c r="N47" s="72">
        <f t="shared" si="16"/>
        <v>-8.0800000000008367</v>
      </c>
      <c r="O47" s="72">
        <f>K47-J47</f>
        <v>-5.1700000000000728</v>
      </c>
      <c r="P47" s="73">
        <f t="shared" si="17"/>
        <v>-8.0719220304572445</v>
      </c>
      <c r="Q47" s="323"/>
      <c r="R47" s="324"/>
      <c r="S47" s="324"/>
      <c r="T47" s="324"/>
      <c r="U47" s="324"/>
      <c r="V47" s="324"/>
      <c r="W47" s="324"/>
      <c r="X47" s="325"/>
      <c r="Y47" s="172"/>
      <c r="Z47" s="172"/>
    </row>
    <row r="48" spans="1:26" s="59" customFormat="1" x14ac:dyDescent="0.2">
      <c r="A48" s="75" t="s">
        <v>86</v>
      </c>
      <c r="B48" s="83" t="s">
        <v>86</v>
      </c>
      <c r="C48" s="192">
        <f t="shared" si="12"/>
        <v>26276.533333333351</v>
      </c>
      <c r="D48" s="77">
        <v>26888.04</v>
      </c>
      <c r="E48" s="44">
        <v>26503.38</v>
      </c>
      <c r="F48" s="109">
        <v>26503.380000000005</v>
      </c>
      <c r="G48" s="155">
        <f>$G$34+(131.33-1970)*(($G$49-$G$34)/(0-1970))</f>
        <v>5848.5359610152282</v>
      </c>
      <c r="H48" s="189">
        <f>$H$34+(131.33-1970)*(($H$49-$H$34)/(0-1970))</f>
        <v>5848.5359610152282</v>
      </c>
      <c r="I48" s="160">
        <f t="shared" si="13"/>
        <v>5848.55</v>
      </c>
      <c r="J48" s="82">
        <v>5846.36</v>
      </c>
      <c r="K48" s="69">
        <v>5841.25</v>
      </c>
      <c r="L48" s="75">
        <f t="shared" si="14"/>
        <v>0</v>
      </c>
      <c r="M48" s="72">
        <f t="shared" si="15"/>
        <v>1.4038984772014373E-2</v>
      </c>
      <c r="N48" s="72">
        <f t="shared" si="16"/>
        <v>-7.3000000000001819</v>
      </c>
      <c r="O48" s="72">
        <f t="shared" si="1"/>
        <v>-5.1099999999996726</v>
      </c>
      <c r="P48" s="73">
        <f t="shared" si="17"/>
        <v>-7.2859610152281675</v>
      </c>
      <c r="Q48" s="323"/>
      <c r="R48" s="324"/>
      <c r="S48" s="324"/>
      <c r="T48" s="324"/>
      <c r="U48" s="324"/>
      <c r="V48" s="324"/>
      <c r="W48" s="324"/>
      <c r="X48" s="325"/>
      <c r="Y48" s="172"/>
      <c r="Z48" s="172"/>
    </row>
    <row r="49" spans="1:26" s="59" customFormat="1" x14ac:dyDescent="0.2">
      <c r="A49" s="63" t="s">
        <v>97</v>
      </c>
      <c r="B49" s="77">
        <v>26145.200000000001</v>
      </c>
      <c r="C49" s="77">
        <v>26145.200000000001</v>
      </c>
      <c r="D49" s="77">
        <v>26818.240000000002</v>
      </c>
      <c r="E49" s="44">
        <v>26462.28</v>
      </c>
      <c r="F49" s="109">
        <v>26462.280000000006</v>
      </c>
      <c r="G49" s="126">
        <v>5847</v>
      </c>
      <c r="H49" s="181">
        <v>5847</v>
      </c>
      <c r="I49" s="94">
        <v>5847.02</v>
      </c>
      <c r="J49" s="82">
        <v>5845.67</v>
      </c>
      <c r="K49" s="69">
        <v>5838.85</v>
      </c>
      <c r="L49" s="75">
        <f t="shared" si="9"/>
        <v>0</v>
      </c>
      <c r="M49" s="71">
        <f t="shared" si="10"/>
        <v>2.0000000000436557E-2</v>
      </c>
      <c r="N49" s="72">
        <f t="shared" si="11"/>
        <v>-8.1700000000000728</v>
      </c>
      <c r="O49" s="72">
        <f t="shared" si="1"/>
        <v>-6.819999999999709</v>
      </c>
      <c r="P49" s="73">
        <f>K49-G49</f>
        <v>-8.1499999999996362</v>
      </c>
      <c r="Q49" s="323"/>
      <c r="R49" s="324"/>
      <c r="S49" s="324"/>
      <c r="T49" s="324"/>
      <c r="U49" s="324"/>
      <c r="V49" s="324"/>
      <c r="W49" s="324"/>
      <c r="X49" s="325"/>
      <c r="Y49" s="172"/>
      <c r="Z49" s="172"/>
    </row>
    <row r="50" spans="1:26" s="59" customFormat="1" x14ac:dyDescent="0.2">
      <c r="A50" s="63" t="s">
        <v>86</v>
      </c>
      <c r="B50" s="83" t="s">
        <v>86</v>
      </c>
      <c r="C50" s="168">
        <f>C49-(1260/6)</f>
        <v>25935.200000000001</v>
      </c>
      <c r="D50" s="77">
        <v>26479.74</v>
      </c>
      <c r="E50" s="44">
        <v>26249.68</v>
      </c>
      <c r="F50" s="109">
        <v>26249.680000000008</v>
      </c>
      <c r="G50" s="186">
        <f>$G$49+(1050-1260)*(($G$55-$G$49)/(0-1260))</f>
        <v>5844.42</v>
      </c>
      <c r="H50" s="187">
        <f>$H$49+(1050-1260)*(($H$55-$H$49)/(0-1260))</f>
        <v>5844.416666666667</v>
      </c>
      <c r="I50" s="195">
        <f>$I$49+(C50-$C$49)*(($I$55-$I$49)/($C$55-$C$49))</f>
        <v>5844.4333333333334</v>
      </c>
      <c r="J50" s="82">
        <v>5843.48</v>
      </c>
      <c r="K50" s="69">
        <v>5837.51</v>
      </c>
      <c r="L50" s="75">
        <f>H50-G50</f>
        <v>-3.333333333102928E-3</v>
      </c>
      <c r="M50" s="72">
        <f>I50-G50</f>
        <v>1.3333333333321207E-2</v>
      </c>
      <c r="N50" s="72">
        <f>K50-I50</f>
        <v>-6.9233333333331757</v>
      </c>
      <c r="O50" s="72">
        <f t="shared" si="1"/>
        <v>-5.9699999999993452</v>
      </c>
      <c r="P50" s="73">
        <f>K50-G50</f>
        <v>-6.9099999999998545</v>
      </c>
      <c r="Q50" s="323"/>
      <c r="R50" s="324"/>
      <c r="S50" s="324"/>
      <c r="T50" s="324"/>
      <c r="U50" s="324"/>
      <c r="V50" s="324"/>
      <c r="W50" s="324"/>
      <c r="X50" s="325"/>
      <c r="Y50" s="172"/>
      <c r="Z50" s="172"/>
    </row>
    <row r="51" spans="1:26" s="59" customFormat="1" x14ac:dyDescent="0.2">
      <c r="A51" s="63" t="s">
        <v>86</v>
      </c>
      <c r="B51" s="83" t="s">
        <v>86</v>
      </c>
      <c r="C51" s="168">
        <f t="shared" ref="C51:C54" si="18">C50-(1260/6)</f>
        <v>25725.200000000001</v>
      </c>
      <c r="D51" s="77">
        <v>26269.439999999999</v>
      </c>
      <c r="E51" s="44" t="s">
        <v>86</v>
      </c>
      <c r="F51" s="150" t="s">
        <v>86</v>
      </c>
      <c r="G51" s="155">
        <f>$G$49+(840-1260)*(($G$55-$G$49)/(0-1260))</f>
        <v>5841.84</v>
      </c>
      <c r="H51" s="187">
        <f>$H$49+(840-1260)*(($H$55-$H$49)/(0-1260))</f>
        <v>5841.833333333333</v>
      </c>
      <c r="I51" s="195">
        <f t="shared" ref="I51:I54" si="19">$I$49+(C51-$C$49)*(($I$55-$I$49)/($C$55-$C$49))</f>
        <v>5841.8466666666673</v>
      </c>
      <c r="J51" s="82">
        <v>5842.34</v>
      </c>
      <c r="K51" s="157">
        <f>$K$50+(26052-$F$50)*(($K$52-$K$50)/($F$52-$F$50))</f>
        <v>5837.0100505816899</v>
      </c>
      <c r="L51" s="75">
        <f t="shared" ref="L51:L54" si="20">H51-G51</f>
        <v>-6.6666666671153507E-3</v>
      </c>
      <c r="M51" s="72">
        <f t="shared" ref="M51:M54" si="21">I51-G51</f>
        <v>6.6666666671153507E-3</v>
      </c>
      <c r="N51" s="72">
        <f t="shared" ref="N51:N54" si="22">K51-I51</f>
        <v>-4.8366160849773223</v>
      </c>
      <c r="O51" s="72">
        <f>K51-J51</f>
        <v>-5.329949418310207</v>
      </c>
      <c r="P51" s="73">
        <f t="shared" ref="P51:P54" si="23">K51-G51</f>
        <v>-4.829949418310207</v>
      </c>
      <c r="Q51" s="323"/>
      <c r="R51" s="324"/>
      <c r="S51" s="324"/>
      <c r="T51" s="324"/>
      <c r="U51" s="324"/>
      <c r="V51" s="324"/>
      <c r="W51" s="324"/>
      <c r="X51" s="325"/>
      <c r="Y51" s="172"/>
      <c r="Z51" s="172"/>
    </row>
    <row r="52" spans="1:26" s="59" customFormat="1" x14ac:dyDescent="0.2">
      <c r="A52" s="63" t="s">
        <v>86</v>
      </c>
      <c r="B52" s="83" t="s">
        <v>86</v>
      </c>
      <c r="C52" s="168">
        <f t="shared" si="18"/>
        <v>25515.200000000001</v>
      </c>
      <c r="D52" s="77">
        <v>26035.14</v>
      </c>
      <c r="E52" s="44">
        <v>25854.28</v>
      </c>
      <c r="F52" s="109">
        <v>25854.280000000006</v>
      </c>
      <c r="G52" s="155">
        <f>$G$49+(630-1260)*(($G$55-$G$49)/(0-1260))</f>
        <v>5839.26</v>
      </c>
      <c r="H52" s="187">
        <f>$H$49+(630-1260)*(($H$55-$H$49)/(0-1260))</f>
        <v>5839.25</v>
      </c>
      <c r="I52" s="195">
        <f t="shared" si="19"/>
        <v>5839.26</v>
      </c>
      <c r="J52" s="82">
        <v>5840.08</v>
      </c>
      <c r="K52" s="69">
        <v>5836.51</v>
      </c>
      <c r="L52" s="75">
        <f t="shared" si="20"/>
        <v>-1.0000000000218279E-2</v>
      </c>
      <c r="M52" s="72">
        <f t="shared" si="21"/>
        <v>0</v>
      </c>
      <c r="N52" s="72">
        <f t="shared" si="22"/>
        <v>-2.75</v>
      </c>
      <c r="O52" s="72">
        <f t="shared" si="1"/>
        <v>-3.569999999999709</v>
      </c>
      <c r="P52" s="73">
        <f t="shared" si="23"/>
        <v>-2.75</v>
      </c>
      <c r="Q52" s="323"/>
      <c r="R52" s="324"/>
      <c r="S52" s="324"/>
      <c r="T52" s="324"/>
      <c r="U52" s="324"/>
      <c r="V52" s="324"/>
      <c r="W52" s="324"/>
      <c r="X52" s="325"/>
      <c r="Y52" s="172"/>
      <c r="Z52" s="172"/>
    </row>
    <row r="53" spans="1:26" s="59" customFormat="1" x14ac:dyDescent="0.2">
      <c r="A53" s="63" t="s">
        <v>86</v>
      </c>
      <c r="B53" s="83" t="s">
        <v>86</v>
      </c>
      <c r="C53" s="168">
        <f t="shared" si="18"/>
        <v>25305.200000000001</v>
      </c>
      <c r="D53" s="77">
        <v>25716.14</v>
      </c>
      <c r="E53" s="44">
        <v>25521.88</v>
      </c>
      <c r="F53" s="109">
        <v>25521.880000000005</v>
      </c>
      <c r="G53" s="155">
        <f>$G$49+(420-1260)*(($G$55-$G$49)/(0-1260))</f>
        <v>5836.6799999999994</v>
      </c>
      <c r="H53" s="187">
        <f>$H$49+(420-1260)*(($H$55-$H$49)/(0-1260))</f>
        <v>5836.666666666667</v>
      </c>
      <c r="I53" s="195">
        <f t="shared" si="19"/>
        <v>5836.6733333333332</v>
      </c>
      <c r="J53" s="82">
        <v>5836.63</v>
      </c>
      <c r="K53" s="69">
        <v>5834.59</v>
      </c>
      <c r="L53" s="75">
        <f t="shared" si="20"/>
        <v>-1.3333333332411712E-2</v>
      </c>
      <c r="M53" s="72">
        <f t="shared" si="21"/>
        <v>-6.666666666205856E-3</v>
      </c>
      <c r="N53" s="72">
        <f t="shared" si="22"/>
        <v>-2.0833333333330302</v>
      </c>
      <c r="O53" s="72">
        <f t="shared" si="1"/>
        <v>-2.0399999999999636</v>
      </c>
      <c r="P53" s="73">
        <f t="shared" si="23"/>
        <v>-2.089999999999236</v>
      </c>
      <c r="Q53" s="323"/>
      <c r="R53" s="324"/>
      <c r="S53" s="324"/>
      <c r="T53" s="324"/>
      <c r="U53" s="324"/>
      <c r="V53" s="324"/>
      <c r="W53" s="324"/>
      <c r="X53" s="325"/>
      <c r="Y53" s="172"/>
      <c r="Z53" s="172"/>
    </row>
    <row r="54" spans="1:26" s="59" customFormat="1" x14ac:dyDescent="0.2">
      <c r="A54" s="63" t="s">
        <v>86</v>
      </c>
      <c r="B54" s="83" t="s">
        <v>86</v>
      </c>
      <c r="C54" s="168">
        <f t="shared" si="18"/>
        <v>25095.200000000001</v>
      </c>
      <c r="D54" s="77">
        <v>25679.84</v>
      </c>
      <c r="E54" s="44">
        <v>25484.98</v>
      </c>
      <c r="F54" s="109">
        <v>25484.980000000003</v>
      </c>
      <c r="G54" s="155">
        <f>$G$49+(210-1260)*(($G$55-$G$49)/(0-1260))</f>
        <v>5834.0999999999995</v>
      </c>
      <c r="H54" s="187">
        <f>$H$49+(210-1260)*(($H$55-$H$49)/(0-1260))</f>
        <v>5834.083333333333</v>
      </c>
      <c r="I54" s="195">
        <f t="shared" si="19"/>
        <v>5834.086666666667</v>
      </c>
      <c r="J54" s="82">
        <v>5835.87</v>
      </c>
      <c r="K54" s="69">
        <v>5832.38</v>
      </c>
      <c r="L54" s="75">
        <f t="shared" si="20"/>
        <v>-1.6666666666424135E-2</v>
      </c>
      <c r="M54" s="72">
        <f t="shared" si="21"/>
        <v>-1.3333333332411712E-2</v>
      </c>
      <c r="N54" s="72">
        <f t="shared" si="22"/>
        <v>-1.7066666666669335</v>
      </c>
      <c r="O54" s="72">
        <f t="shared" si="1"/>
        <v>-3.4899999999997817</v>
      </c>
      <c r="P54" s="73">
        <f t="shared" si="23"/>
        <v>-1.7199999999993452</v>
      </c>
      <c r="Q54" s="323"/>
      <c r="R54" s="324"/>
      <c r="S54" s="324"/>
      <c r="T54" s="324"/>
      <c r="U54" s="324"/>
      <c r="V54" s="324"/>
      <c r="W54" s="324"/>
      <c r="X54" s="325"/>
      <c r="Y54" s="172"/>
      <c r="Z54" s="172"/>
    </row>
    <row r="55" spans="1:26" s="162" customFormat="1" x14ac:dyDescent="0.2">
      <c r="A55" s="152" t="s">
        <v>98</v>
      </c>
      <c r="B55" s="168">
        <v>24885.200000000001</v>
      </c>
      <c r="C55" s="168">
        <v>24885.200000000001</v>
      </c>
      <c r="D55" s="168">
        <v>25433.34</v>
      </c>
      <c r="E55" s="153">
        <v>25166.78</v>
      </c>
      <c r="F55" s="154">
        <v>25166.780000000002</v>
      </c>
      <c r="G55" s="155">
        <v>5831.5199999999995</v>
      </c>
      <c r="H55" s="180">
        <v>5831.5</v>
      </c>
      <c r="I55" s="68">
        <v>5831.5</v>
      </c>
      <c r="J55" s="198">
        <v>5832.42</v>
      </c>
      <c r="K55" s="69">
        <v>5830.8</v>
      </c>
      <c r="L55" s="167">
        <f t="shared" si="9"/>
        <v>-1.9999999999527063E-2</v>
      </c>
      <c r="M55" s="160">
        <f t="shared" si="10"/>
        <v>-1.9999999999527063E-2</v>
      </c>
      <c r="N55" s="160">
        <f t="shared" si="11"/>
        <v>-0.6999999999998181</v>
      </c>
      <c r="O55" s="160">
        <f t="shared" si="1"/>
        <v>-1.6199999999998909</v>
      </c>
      <c r="P55" s="161">
        <f t="shared" si="2"/>
        <v>-0.71999999999934516</v>
      </c>
      <c r="Q55" s="335"/>
      <c r="R55" s="336"/>
      <c r="S55" s="336"/>
      <c r="T55" s="336"/>
      <c r="U55" s="336"/>
      <c r="V55" s="336"/>
      <c r="W55" s="336"/>
      <c r="X55" s="337"/>
      <c r="Y55" s="170">
        <v>5830.8</v>
      </c>
      <c r="Z55" s="170">
        <v>5828.73</v>
      </c>
    </row>
    <row r="56" spans="1:26" s="59" customFormat="1" ht="62.45" customHeight="1" x14ac:dyDescent="0.2">
      <c r="A56" s="63" t="s">
        <v>86</v>
      </c>
      <c r="B56" s="83" t="s">
        <v>86</v>
      </c>
      <c r="C56" s="192">
        <f>C55-(1730/11)</f>
        <v>24727.927272727273</v>
      </c>
      <c r="D56" s="77">
        <v>25126.74</v>
      </c>
      <c r="E56" s="44">
        <v>24837.98</v>
      </c>
      <c r="F56" s="109">
        <v>24837.980000000003</v>
      </c>
      <c r="G56" s="186">
        <f>$G$55+(1572.73-1730)*(($G$66-$G$55)/(0-1730))</f>
        <v>5829.7818483236988</v>
      </c>
      <c r="H56" s="187">
        <f>$H$55+(1572.73-1730)*(($H$66-$H$55)/(0-1730))</f>
        <v>5829.7627573988439</v>
      </c>
      <c r="I56" s="160">
        <f>$I$55+(C56-$C$55)*(($I$66-$I$55)/($C$66-$C$55))</f>
        <v>5829.7654545454543</v>
      </c>
      <c r="J56" s="82">
        <v>5828.25</v>
      </c>
      <c r="K56" s="69">
        <v>5829.76</v>
      </c>
      <c r="L56" s="75">
        <f>H56-G56</f>
        <v>-1.909092485493602E-2</v>
      </c>
      <c r="M56" s="72">
        <f>I56-G56</f>
        <v>-1.6393778244491841E-2</v>
      </c>
      <c r="N56" s="72">
        <f>K56-I56</f>
        <v>-5.4545454540857463E-3</v>
      </c>
      <c r="O56" s="71">
        <f t="shared" si="1"/>
        <v>1.5100000000002183</v>
      </c>
      <c r="P56" s="73">
        <f>K56-G56</f>
        <v>-2.1848323698577587E-2</v>
      </c>
      <c r="Q56" s="332" t="s">
        <v>114</v>
      </c>
      <c r="R56" s="333"/>
      <c r="S56" s="333"/>
      <c r="T56" s="333"/>
      <c r="U56" s="333"/>
      <c r="V56" s="333"/>
      <c r="W56" s="333"/>
      <c r="X56" s="334"/>
    </row>
    <row r="57" spans="1:26" s="59" customFormat="1" ht="62.45" customHeight="1" x14ac:dyDescent="0.2">
      <c r="A57" s="63" t="s">
        <v>86</v>
      </c>
      <c r="B57" s="83" t="s">
        <v>86</v>
      </c>
      <c r="C57" s="192">
        <f t="shared" ref="C57:C65" si="24">C56-(1730/11)</f>
        <v>24570.654545454545</v>
      </c>
      <c r="D57" s="77">
        <v>24850.94</v>
      </c>
      <c r="E57" s="44">
        <v>24538.38</v>
      </c>
      <c r="F57" s="109">
        <v>24538.380000000005</v>
      </c>
      <c r="G57" s="155">
        <f>$G$55+(1415.45-1730)*(($G$66-$G$55)/(0-1730))</f>
        <v>5828.0435861271671</v>
      </c>
      <c r="H57" s="187">
        <f>$H$55+(1415.45-1730)*(($H$66-$H$55)/(0-1730))</f>
        <v>5828.0254043352597</v>
      </c>
      <c r="I57" s="160">
        <f t="shared" ref="I57:I65" si="25">$I$55+(C57-$C$55)*(($I$66-$I$55)/($C$66-$C$55))</f>
        <v>5828.0309090909095</v>
      </c>
      <c r="J57" s="82">
        <v>5825.9</v>
      </c>
      <c r="K57" s="69">
        <v>5828.75</v>
      </c>
      <c r="L57" s="75">
        <f t="shared" ref="L57:L65" si="26">H57-G57</f>
        <v>-1.8181791907409206E-2</v>
      </c>
      <c r="M57" s="72">
        <f t="shared" ref="M57:M65" si="27">I57-G57</f>
        <v>-1.267703625762806E-2</v>
      </c>
      <c r="N57" s="72">
        <f t="shared" ref="N57:N65" si="28">K57-I57</f>
        <v>0.71909090909048246</v>
      </c>
      <c r="O57" s="71">
        <f t="shared" si="1"/>
        <v>2.8500000000003638</v>
      </c>
      <c r="P57" s="73">
        <f t="shared" ref="P57:P65" si="29">K57-G57</f>
        <v>0.70641387283285439</v>
      </c>
      <c r="Q57" s="332" t="s">
        <v>114</v>
      </c>
      <c r="R57" s="333"/>
      <c r="S57" s="333"/>
      <c r="T57" s="333"/>
      <c r="U57" s="333"/>
      <c r="V57" s="333"/>
      <c r="W57" s="333"/>
      <c r="X57" s="334"/>
    </row>
    <row r="58" spans="1:26" s="59" customFormat="1" ht="62.45" customHeight="1" x14ac:dyDescent="0.2">
      <c r="A58" s="63" t="s">
        <v>86</v>
      </c>
      <c r="B58" s="83" t="s">
        <v>86</v>
      </c>
      <c r="C58" s="192">
        <f t="shared" si="24"/>
        <v>24413.381818181817</v>
      </c>
      <c r="D58" s="77">
        <v>24536.639999999999</v>
      </c>
      <c r="E58" s="44">
        <v>24241.78</v>
      </c>
      <c r="F58" s="109">
        <v>24241.780000000006</v>
      </c>
      <c r="G58" s="155">
        <f>$G$55+(1258.2-1730)*(($G$66-$G$55)/(0-1730))</f>
        <v>5826.3056554913292</v>
      </c>
      <c r="H58" s="187">
        <f>$H$55+(1258.2-1730)*(($H$66-$H$55)/(0-1730))</f>
        <v>5826.2883826589596</v>
      </c>
      <c r="I58" s="160">
        <f t="shared" si="25"/>
        <v>5826.2963636363638</v>
      </c>
      <c r="J58" s="82">
        <v>5823.27</v>
      </c>
      <c r="K58" s="69">
        <v>5827.01</v>
      </c>
      <c r="L58" s="75">
        <f t="shared" si="26"/>
        <v>-1.72728323695992E-2</v>
      </c>
      <c r="M58" s="72">
        <f t="shared" si="27"/>
        <v>-9.2918549653404625E-3</v>
      </c>
      <c r="N58" s="72">
        <f t="shared" si="28"/>
        <v>0.71363636363639671</v>
      </c>
      <c r="O58" s="71">
        <f t="shared" si="1"/>
        <v>3.7399999999997817</v>
      </c>
      <c r="P58" s="73">
        <f t="shared" si="29"/>
        <v>0.70434450867105625</v>
      </c>
      <c r="Q58" s="332" t="s">
        <v>114</v>
      </c>
      <c r="R58" s="333"/>
      <c r="S58" s="333"/>
      <c r="T58" s="333"/>
      <c r="U58" s="333"/>
      <c r="V58" s="333"/>
      <c r="W58" s="333"/>
      <c r="X58" s="334"/>
    </row>
    <row r="59" spans="1:26" s="59" customFormat="1" ht="62.45" customHeight="1" x14ac:dyDescent="0.2">
      <c r="A59" s="63" t="s">
        <v>86</v>
      </c>
      <c r="B59" s="83" t="s">
        <v>86</v>
      </c>
      <c r="C59" s="192">
        <f t="shared" si="24"/>
        <v>24256.109090909089</v>
      </c>
      <c r="D59" s="77">
        <v>24496.44</v>
      </c>
      <c r="E59" s="44">
        <v>24201.78</v>
      </c>
      <c r="F59" s="109">
        <v>24201.780000000006</v>
      </c>
      <c r="G59" s="155">
        <f>$G$55+(1100.91-1730)*(($G$66-$G$55)/(0-1730))</f>
        <v>5824.5672827745657</v>
      </c>
      <c r="H59" s="187">
        <f>$H$55+(1100.91-1730)*(($H$66-$H$55)/(0-1730))</f>
        <v>5824.5509191329475</v>
      </c>
      <c r="I59" s="160">
        <f t="shared" si="25"/>
        <v>5824.5618181818181</v>
      </c>
      <c r="J59" s="82">
        <v>5823.01</v>
      </c>
      <c r="K59" s="69">
        <v>5825.59</v>
      </c>
      <c r="L59" s="75">
        <f t="shared" si="26"/>
        <v>-1.636364161822712E-2</v>
      </c>
      <c r="M59" s="72">
        <f t="shared" si="27"/>
        <v>-5.4645927475576173E-3</v>
      </c>
      <c r="N59" s="72">
        <f t="shared" si="28"/>
        <v>1.0281818181820199</v>
      </c>
      <c r="O59" s="71">
        <f t="shared" si="1"/>
        <v>2.5799999999999272</v>
      </c>
      <c r="P59" s="73">
        <f t="shared" si="29"/>
        <v>1.0227172254344623</v>
      </c>
      <c r="Q59" s="332" t="s">
        <v>114</v>
      </c>
      <c r="R59" s="333"/>
      <c r="S59" s="333"/>
      <c r="T59" s="333"/>
      <c r="U59" s="333"/>
      <c r="V59" s="333"/>
      <c r="W59" s="333"/>
      <c r="X59" s="334"/>
    </row>
    <row r="60" spans="1:26" s="59" customFormat="1" ht="62.45" customHeight="1" x14ac:dyDescent="0.2">
      <c r="A60" s="63" t="s">
        <v>86</v>
      </c>
      <c r="B60" s="83" t="s">
        <v>86</v>
      </c>
      <c r="C60" s="192">
        <f t="shared" si="24"/>
        <v>24098.836363636361</v>
      </c>
      <c r="D60" s="77">
        <v>24423.14</v>
      </c>
      <c r="E60" s="44">
        <v>24129.38</v>
      </c>
      <c r="F60" s="109">
        <v>24129.380000000005</v>
      </c>
      <c r="G60" s="155">
        <f>$G$55+(943.64-1730)*(($G$66-$G$55)/(0-1730))</f>
        <v>5822.8291310982659</v>
      </c>
      <c r="H60" s="187">
        <f>$H$55+(943.64-1730)*(($H$66-$H$55)/(0-1730))</f>
        <v>5822.8136765317913</v>
      </c>
      <c r="I60" s="160">
        <f t="shared" si="25"/>
        <v>5822.8272727272724</v>
      </c>
      <c r="J60" s="82">
        <v>5822.53</v>
      </c>
      <c r="K60" s="69">
        <v>5823.81</v>
      </c>
      <c r="L60" s="75">
        <f t="shared" si="26"/>
        <v>-1.5454566474545572E-2</v>
      </c>
      <c r="M60" s="72">
        <f t="shared" si="27"/>
        <v>-1.8583709934318904E-3</v>
      </c>
      <c r="N60" s="72">
        <f t="shared" si="28"/>
        <v>0.98272727272797056</v>
      </c>
      <c r="O60" s="71">
        <f t="shared" si="1"/>
        <v>1.2800000000006548</v>
      </c>
      <c r="P60" s="73">
        <f t="shared" si="29"/>
        <v>0.98086890173453867</v>
      </c>
      <c r="Q60" s="332" t="s">
        <v>114</v>
      </c>
      <c r="R60" s="333"/>
      <c r="S60" s="333"/>
      <c r="T60" s="333"/>
      <c r="U60" s="333"/>
      <c r="V60" s="333"/>
      <c r="W60" s="333"/>
      <c r="X60" s="334"/>
    </row>
    <row r="61" spans="1:26" s="59" customFormat="1" ht="62.45" customHeight="1" x14ac:dyDescent="0.2">
      <c r="A61" s="63" t="s">
        <v>86</v>
      </c>
      <c r="B61" s="83" t="s">
        <v>86</v>
      </c>
      <c r="C61" s="192">
        <f t="shared" si="24"/>
        <v>23941.563636363633</v>
      </c>
      <c r="D61" s="77">
        <v>24317.439999999999</v>
      </c>
      <c r="E61" s="44">
        <v>24023.18</v>
      </c>
      <c r="F61" s="109">
        <v>24023.180000000004</v>
      </c>
      <c r="G61" s="155">
        <f>$G$55+(786.36-1730)*(($G$66-$G$55)/(0-1730))</f>
        <v>5821.0908689017333</v>
      </c>
      <c r="H61" s="187">
        <f>$H$55+(786.36-1730)*(($H$66-$H$55)/(0-1730))</f>
        <v>5821.0763234682081</v>
      </c>
      <c r="I61" s="160">
        <f t="shared" si="25"/>
        <v>5821.0927272727276</v>
      </c>
      <c r="J61" s="82">
        <v>5821.93</v>
      </c>
      <c r="K61" s="69">
        <v>5822.78</v>
      </c>
      <c r="L61" s="75">
        <f t="shared" si="26"/>
        <v>-1.4545433525199769E-2</v>
      </c>
      <c r="M61" s="72">
        <f t="shared" si="27"/>
        <v>1.8583709943413851E-3</v>
      </c>
      <c r="N61" s="72">
        <f t="shared" si="28"/>
        <v>1.6872727272721022</v>
      </c>
      <c r="O61" s="71">
        <f t="shared" si="1"/>
        <v>0.8499999999994543</v>
      </c>
      <c r="P61" s="73">
        <f t="shared" si="29"/>
        <v>1.6891310982664436</v>
      </c>
      <c r="Q61" s="332" t="s">
        <v>114</v>
      </c>
      <c r="R61" s="333"/>
      <c r="S61" s="333"/>
      <c r="T61" s="333"/>
      <c r="U61" s="333"/>
      <c r="V61" s="333"/>
      <c r="W61" s="333"/>
      <c r="X61" s="334"/>
    </row>
    <row r="62" spans="1:26" s="59" customFormat="1" x14ac:dyDescent="0.2">
      <c r="A62" s="63" t="s">
        <v>86</v>
      </c>
      <c r="B62" s="83" t="s">
        <v>86</v>
      </c>
      <c r="C62" s="192">
        <f t="shared" si="24"/>
        <v>23784.290909090905</v>
      </c>
      <c r="D62" s="77">
        <v>24260.639999999999</v>
      </c>
      <c r="E62" s="44">
        <v>23980.78</v>
      </c>
      <c r="F62" s="109">
        <v>23980.780000000002</v>
      </c>
      <c r="G62" s="155">
        <f>$G$55+(629.1-1730)*(($G$66-$G$55)/(0-1730))</f>
        <v>5819.3528277456644</v>
      </c>
      <c r="H62" s="187">
        <f>$H$55+(629.1-1730)*(($H$66-$H$55)/(0-1730))</f>
        <v>5819.339191329479</v>
      </c>
      <c r="I62" s="160">
        <f t="shared" si="25"/>
        <v>5819.3581818181819</v>
      </c>
      <c r="J62" s="82">
        <v>5821.05</v>
      </c>
      <c r="K62" s="69">
        <v>5820.39</v>
      </c>
      <c r="L62" s="75">
        <f t="shared" si="26"/>
        <v>-1.3636416185363487E-2</v>
      </c>
      <c r="M62" s="72">
        <f t="shared" si="27"/>
        <v>5.3540725175480475E-3</v>
      </c>
      <c r="N62" s="72">
        <f t="shared" si="28"/>
        <v>1.0318181818183803</v>
      </c>
      <c r="O62" s="72">
        <f t="shared" si="1"/>
        <v>-0.65999999999985448</v>
      </c>
      <c r="P62" s="73">
        <f t="shared" si="29"/>
        <v>1.0371722543359283</v>
      </c>
      <c r="Q62" s="292"/>
      <c r="R62" s="293"/>
      <c r="S62" s="293"/>
      <c r="T62" s="293"/>
      <c r="U62" s="293"/>
      <c r="V62" s="293"/>
      <c r="W62" s="293"/>
      <c r="X62" s="294"/>
    </row>
    <row r="63" spans="1:26" s="59" customFormat="1" x14ac:dyDescent="0.2">
      <c r="A63" s="63" t="s">
        <v>86</v>
      </c>
      <c r="B63" s="83" t="s">
        <v>86</v>
      </c>
      <c r="C63" s="192">
        <f t="shared" si="24"/>
        <v>23627.018181818177</v>
      </c>
      <c r="D63" s="77">
        <v>24070.14</v>
      </c>
      <c r="E63" s="44">
        <v>23794.880000000001</v>
      </c>
      <c r="F63" s="109">
        <v>23794.880000000001</v>
      </c>
      <c r="G63" s="155">
        <f>$G$55+(471.82-1730)*(($G$66-$G$55)/(0-1730))</f>
        <v>5817.6145655491327</v>
      </c>
      <c r="H63" s="187">
        <f>$H$55+(471.82-1730)*(($H$66-$H$55)/(0-1730))</f>
        <v>5817.6018382658958</v>
      </c>
      <c r="I63" s="160">
        <f t="shared" si="25"/>
        <v>5817.6236363636363</v>
      </c>
      <c r="J63" s="82">
        <v>5820.57</v>
      </c>
      <c r="K63" s="69">
        <v>5818.73</v>
      </c>
      <c r="L63" s="75">
        <f t="shared" si="26"/>
        <v>-1.2727283236927178E-2</v>
      </c>
      <c r="M63" s="72">
        <f t="shared" si="27"/>
        <v>9.0708145035023335E-3</v>
      </c>
      <c r="N63" s="72">
        <f t="shared" si="28"/>
        <v>1.1063636363633123</v>
      </c>
      <c r="O63" s="72">
        <f t="shared" si="1"/>
        <v>-1.8400000000001455</v>
      </c>
      <c r="P63" s="73">
        <f t="shared" si="29"/>
        <v>1.1154344508668146</v>
      </c>
      <c r="Q63" s="292"/>
      <c r="R63" s="293"/>
      <c r="S63" s="293"/>
      <c r="T63" s="293"/>
      <c r="U63" s="293"/>
      <c r="V63" s="293"/>
      <c r="W63" s="293"/>
      <c r="X63" s="294"/>
    </row>
    <row r="64" spans="1:26" s="59" customFormat="1" x14ac:dyDescent="0.2">
      <c r="A64" s="63" t="s">
        <v>86</v>
      </c>
      <c r="B64" s="83" t="s">
        <v>86</v>
      </c>
      <c r="C64" s="192">
        <f t="shared" si="24"/>
        <v>23469.745454545449</v>
      </c>
      <c r="D64" s="77">
        <v>23909.34</v>
      </c>
      <c r="E64" s="44">
        <v>23648.48</v>
      </c>
      <c r="F64" s="109">
        <v>23648.48</v>
      </c>
      <c r="G64" s="155">
        <f>$G$55+(314.55-1730)*(($G$66-$G$55)/(0-1730))</f>
        <v>5815.876413872832</v>
      </c>
      <c r="H64" s="187">
        <f>$H$55+(314.55-1730)*(($H$66-$H$55)/(0-1730))</f>
        <v>5815.8645956647397</v>
      </c>
      <c r="I64" s="160">
        <f t="shared" si="25"/>
        <v>5815.8890909090906</v>
      </c>
      <c r="J64" s="82">
        <v>5820.36</v>
      </c>
      <c r="K64" s="69">
        <v>5817.46</v>
      </c>
      <c r="L64" s="75">
        <f t="shared" si="26"/>
        <v>-1.1818208092336135E-2</v>
      </c>
      <c r="M64" s="72">
        <f t="shared" si="27"/>
        <v>1.2677036258537555E-2</v>
      </c>
      <c r="N64" s="72">
        <f t="shared" si="28"/>
        <v>1.5709090909094812</v>
      </c>
      <c r="O64" s="72">
        <f t="shared" si="1"/>
        <v>-2.8999999999996362</v>
      </c>
      <c r="P64" s="73">
        <f t="shared" si="29"/>
        <v>1.5835861271680187</v>
      </c>
      <c r="Q64" s="292"/>
      <c r="R64" s="293"/>
      <c r="S64" s="293"/>
      <c r="T64" s="293"/>
      <c r="U64" s="293"/>
      <c r="V64" s="293"/>
      <c r="W64" s="293"/>
      <c r="X64" s="294"/>
    </row>
    <row r="65" spans="1:24" s="59" customFormat="1" x14ac:dyDescent="0.2">
      <c r="A65" s="63" t="s">
        <v>86</v>
      </c>
      <c r="B65" s="83" t="s">
        <v>86</v>
      </c>
      <c r="C65" s="192">
        <f t="shared" si="24"/>
        <v>23312.472727272721</v>
      </c>
      <c r="D65" s="77">
        <v>23871.84</v>
      </c>
      <c r="E65" s="44">
        <v>23613.18</v>
      </c>
      <c r="F65" s="109">
        <v>23613.18</v>
      </c>
      <c r="G65" s="155">
        <f>$G$55+(157.27-1730)*(($G$66-$G$55)/(0-1730))</f>
        <v>5814.1381516763004</v>
      </c>
      <c r="H65" s="187">
        <f>$H$55+(157.27-1730)*(($H$66-$H$55)/(0-1730))</f>
        <v>5814.1272426011556</v>
      </c>
      <c r="I65" s="160">
        <f t="shared" si="25"/>
        <v>5814.1545454545458</v>
      </c>
      <c r="J65" s="82">
        <v>5820.33</v>
      </c>
      <c r="K65" s="69">
        <v>5815.43</v>
      </c>
      <c r="L65" s="75">
        <f t="shared" si="26"/>
        <v>-1.0909075144809322E-2</v>
      </c>
      <c r="M65" s="72">
        <f t="shared" si="27"/>
        <v>1.6393778245401336E-2</v>
      </c>
      <c r="N65" s="72">
        <f t="shared" si="28"/>
        <v>1.2754545454545223</v>
      </c>
      <c r="O65" s="72">
        <f t="shared" si="1"/>
        <v>-4.8999999999996362</v>
      </c>
      <c r="P65" s="73">
        <f t="shared" si="29"/>
        <v>1.2918483236999236</v>
      </c>
      <c r="Q65" s="292"/>
      <c r="R65" s="293"/>
      <c r="S65" s="293"/>
      <c r="T65" s="293"/>
      <c r="U65" s="293"/>
      <c r="V65" s="293"/>
      <c r="W65" s="293"/>
      <c r="X65" s="294"/>
    </row>
    <row r="66" spans="1:24" s="59" customFormat="1" ht="78" customHeight="1" x14ac:dyDescent="0.2">
      <c r="A66" s="63" t="s">
        <v>99</v>
      </c>
      <c r="B66" s="77">
        <v>23155.200000000001</v>
      </c>
      <c r="C66" s="77">
        <v>23155.200000000001</v>
      </c>
      <c r="D66" s="77">
        <v>23611.439999999999</v>
      </c>
      <c r="E66" s="44">
        <v>23339.88</v>
      </c>
      <c r="F66" s="109">
        <v>23339.88</v>
      </c>
      <c r="G66" s="126">
        <v>5812.4</v>
      </c>
      <c r="H66" s="181">
        <v>5812.3899999999994</v>
      </c>
      <c r="I66" s="68">
        <v>5812.42</v>
      </c>
      <c r="J66" s="82">
        <v>5820.32</v>
      </c>
      <c r="K66" s="69">
        <v>5815.36</v>
      </c>
      <c r="L66" s="75">
        <f t="shared" si="9"/>
        <v>-1.0000000000218279E-2</v>
      </c>
      <c r="M66" s="71">
        <f t="shared" si="10"/>
        <v>2.0000000000436557E-2</v>
      </c>
      <c r="N66" s="71">
        <f t="shared" si="11"/>
        <v>2.9399999999995998</v>
      </c>
      <c r="O66" s="72">
        <f t="shared" si="1"/>
        <v>-4.9600000000000364</v>
      </c>
      <c r="P66" s="96">
        <f t="shared" si="2"/>
        <v>2.9600000000000364</v>
      </c>
      <c r="Q66" s="338" t="s">
        <v>115</v>
      </c>
      <c r="R66" s="339"/>
      <c r="S66" s="339"/>
      <c r="T66" s="339"/>
      <c r="U66" s="339"/>
      <c r="V66" s="339"/>
      <c r="W66" s="339"/>
      <c r="X66" s="340"/>
    </row>
    <row r="67" spans="1:24" s="59" customFormat="1" x14ac:dyDescent="0.2">
      <c r="A67" s="98" t="s">
        <v>86</v>
      </c>
      <c r="B67" s="72" t="s">
        <v>86</v>
      </c>
      <c r="C67" s="168">
        <f>C66-(3080/22)</f>
        <v>23015.200000000001</v>
      </c>
      <c r="D67" s="77">
        <v>23445.64</v>
      </c>
      <c r="E67" s="44" t="s">
        <v>86</v>
      </c>
      <c r="F67" s="203">
        <v>23173.35</v>
      </c>
      <c r="G67" s="186">
        <f>$G$66+(2933.3-3080)*(($G$87-$G$66)/(0-3080))</f>
        <v>5811.3421644673926</v>
      </c>
      <c r="H67" s="187">
        <f>$H$66+(2933.3-3080)*(($H$87-$H$66)/(0-3080))</f>
        <v>5811.332618084688</v>
      </c>
      <c r="I67" s="190">
        <f>$I$66+(C67-$C$66)*(($I$88-$I$66)/($C$88-$C$66))</f>
        <v>5811.3590909090908</v>
      </c>
      <c r="J67" s="82">
        <v>5820.3</v>
      </c>
      <c r="K67" s="157">
        <f>$K$66+(F67-$F$66)*(($K$87-$K$66)/($F$87-$F$66))</f>
        <v>5813.5588756012548</v>
      </c>
      <c r="L67" s="75">
        <f>H67-G67</f>
        <v>-9.5463827046842198E-3</v>
      </c>
      <c r="M67" s="72">
        <f>I67-G67</f>
        <v>1.6926441698160488E-2</v>
      </c>
      <c r="N67" s="72">
        <f>K67-I67</f>
        <v>2.1997846921640303</v>
      </c>
      <c r="O67" s="72">
        <f>K67-J67</f>
        <v>-6.7411243987453418</v>
      </c>
      <c r="P67" s="73">
        <f>K67-G67</f>
        <v>2.2167111338621908</v>
      </c>
      <c r="Q67" s="323"/>
      <c r="R67" s="324"/>
      <c r="S67" s="324"/>
      <c r="T67" s="324"/>
      <c r="U67" s="324"/>
      <c r="V67" s="324"/>
      <c r="W67" s="324"/>
      <c r="X67" s="325"/>
    </row>
    <row r="68" spans="1:24" s="59" customFormat="1" x14ac:dyDescent="0.2">
      <c r="A68" s="98" t="s">
        <v>86</v>
      </c>
      <c r="B68" s="72" t="s">
        <v>86</v>
      </c>
      <c r="C68" s="168">
        <f t="shared" ref="C68:C87" si="30">C67-(3080/22)</f>
        <v>22875.200000000001</v>
      </c>
      <c r="D68" s="168">
        <v>23319</v>
      </c>
      <c r="E68" s="44">
        <v>23006.58</v>
      </c>
      <c r="F68" s="109">
        <v>23006.58</v>
      </c>
      <c r="G68" s="155">
        <f>$G$66+(2786.66-3080)*(($G$87-$G$66)/(0-3080))</f>
        <v>5810.2847615873561</v>
      </c>
      <c r="H68" s="187">
        <f>$H$66+(2786.66-3080)*(($H$87-$H$66)/(0-3080))</f>
        <v>5810.2756686364173</v>
      </c>
      <c r="I68" s="190">
        <f t="shared" ref="I68:I87" si="31">$I$66+(C68-$C$66)*(($I$88-$I$66)/($C$88-$C$66))</f>
        <v>5810.2981818181815</v>
      </c>
      <c r="J68" s="198">
        <f>$J$67+(D68-$D$67)*(($J$69-$J$67)/($D$69-$D$67))</f>
        <v>5820.3</v>
      </c>
      <c r="K68" s="69">
        <v>5812.75</v>
      </c>
      <c r="L68" s="75">
        <f t="shared" ref="L68:L86" si="32">H68-G68</f>
        <v>-9.0929509387933649E-3</v>
      </c>
      <c r="M68" s="72">
        <f t="shared" ref="M68:M86" si="33">I68-G68</f>
        <v>1.3420230825431645E-2</v>
      </c>
      <c r="N68" s="72">
        <f t="shared" ref="N68:N86" si="34">K68-I68</f>
        <v>2.451818181818453</v>
      </c>
      <c r="O68" s="72">
        <f>K68-J68</f>
        <v>-7.5500000000001819</v>
      </c>
      <c r="P68" s="73">
        <f t="shared" ref="P68:P86" si="35">K68-G68</f>
        <v>2.4652384126438847</v>
      </c>
      <c r="Q68" s="323"/>
      <c r="R68" s="324"/>
      <c r="S68" s="324"/>
      <c r="T68" s="324"/>
      <c r="U68" s="324"/>
      <c r="V68" s="324"/>
      <c r="W68" s="324"/>
      <c r="X68" s="325"/>
    </row>
    <row r="69" spans="1:24" s="59" customFormat="1" x14ac:dyDescent="0.2">
      <c r="A69" s="98" t="s">
        <v>86</v>
      </c>
      <c r="B69" s="72" t="s">
        <v>86</v>
      </c>
      <c r="C69" s="168">
        <f t="shared" si="30"/>
        <v>22735.200000000001</v>
      </c>
      <c r="D69" s="77">
        <v>23193.64</v>
      </c>
      <c r="E69" s="44">
        <v>22963.98</v>
      </c>
      <c r="F69" s="109">
        <v>22963.980000000003</v>
      </c>
      <c r="G69" s="155">
        <f>$G$66+(2640-3080)*(($G$87-$G$66)/(0-3080))</f>
        <v>5809.2272144897952</v>
      </c>
      <c r="H69" s="187">
        <f>$H$66+(2640-3080)*(($H$87-$H$66)/(0-3080))</f>
        <v>5809.218575032467</v>
      </c>
      <c r="I69" s="190">
        <f t="shared" si="31"/>
        <v>5809.2372727272732</v>
      </c>
      <c r="J69" s="82">
        <v>5820.3</v>
      </c>
      <c r="K69" s="69">
        <v>5811.78</v>
      </c>
      <c r="L69" s="75">
        <f t="shared" si="32"/>
        <v>-8.6394573281722842E-3</v>
      </c>
      <c r="M69" s="72">
        <f t="shared" si="33"/>
        <v>1.0058237478006049E-2</v>
      </c>
      <c r="N69" s="72">
        <f t="shared" si="34"/>
        <v>2.5427272727265517</v>
      </c>
      <c r="O69" s="72">
        <f t="shared" si="1"/>
        <v>-8.5200000000004366</v>
      </c>
      <c r="P69" s="73">
        <f t="shared" si="35"/>
        <v>2.5527855102045578</v>
      </c>
      <c r="Q69" s="323"/>
      <c r="R69" s="324"/>
      <c r="S69" s="324"/>
      <c r="T69" s="324"/>
      <c r="U69" s="324"/>
      <c r="V69" s="324"/>
      <c r="W69" s="324"/>
      <c r="X69" s="325"/>
    </row>
    <row r="70" spans="1:24" s="59" customFormat="1" x14ac:dyDescent="0.2">
      <c r="A70" s="98" t="s">
        <v>86</v>
      </c>
      <c r="B70" s="72" t="s">
        <v>86</v>
      </c>
      <c r="C70" s="168">
        <f t="shared" si="30"/>
        <v>22595.200000000001</v>
      </c>
      <c r="D70" s="77">
        <v>23013.83</v>
      </c>
      <c r="E70" s="44" t="s">
        <v>86</v>
      </c>
      <c r="F70" s="165">
        <v>22823.9</v>
      </c>
      <c r="G70" s="155">
        <f>$G$66+(2493.3-3080)*(($G$87-$G$66)/(0-3080))</f>
        <v>5808.1693789571891</v>
      </c>
      <c r="H70" s="187">
        <f>$H$66+(2493.3-3080)*(($H$87-$H$66)/(0-3080))</f>
        <v>5808.1611931171556</v>
      </c>
      <c r="I70" s="190">
        <f t="shared" si="31"/>
        <v>5808.1763636363639</v>
      </c>
      <c r="J70" s="82">
        <v>5813.35</v>
      </c>
      <c r="K70" s="157">
        <f>$K$66+(F70-$F$66)*(($K$87-$K$66)/($F$87-$F$66))</f>
        <v>5809.7793588706863</v>
      </c>
      <c r="L70" s="75">
        <f t="shared" si="32"/>
        <v>-8.1858400335477199E-3</v>
      </c>
      <c r="M70" s="72">
        <f t="shared" si="33"/>
        <v>6.9846791748204851E-3</v>
      </c>
      <c r="N70" s="72">
        <f t="shared" si="34"/>
        <v>1.6029952343224068</v>
      </c>
      <c r="O70" s="72">
        <f>K70-J70</f>
        <v>-3.5706411293140263</v>
      </c>
      <c r="P70" s="73">
        <f t="shared" si="35"/>
        <v>1.6099799134972272</v>
      </c>
      <c r="Q70" s="323"/>
      <c r="R70" s="324"/>
      <c r="S70" s="324"/>
      <c r="T70" s="324"/>
      <c r="U70" s="324"/>
      <c r="V70" s="324"/>
      <c r="W70" s="324"/>
      <c r="X70" s="325"/>
    </row>
    <row r="71" spans="1:24" s="59" customFormat="1" x14ac:dyDescent="0.2">
      <c r="A71" s="98" t="s">
        <v>86</v>
      </c>
      <c r="B71" s="72" t="s">
        <v>86</v>
      </c>
      <c r="C71" s="168">
        <f t="shared" si="30"/>
        <v>22455.200000000001</v>
      </c>
      <c r="D71" s="168">
        <v>22855</v>
      </c>
      <c r="E71" s="44">
        <v>22683.78</v>
      </c>
      <c r="F71" s="109">
        <v>22683.780000000002</v>
      </c>
      <c r="G71" s="155">
        <f>$G$66+(2346.66-3080)*(($G$87-$G$66)/(0-3080))</f>
        <v>5807.1119760771517</v>
      </c>
      <c r="H71" s="187">
        <f>$H$66+(2346.66-3080)*(($H$87-$H$66)/(0-3080))</f>
        <v>5807.1042436688849</v>
      </c>
      <c r="I71" s="190">
        <f t="shared" si="31"/>
        <v>5807.1154545454547</v>
      </c>
      <c r="J71" s="198">
        <f>$J$70+(D71-$D$70)*(($J$72-$J$70)/($D$72-$D$70))</f>
        <v>5811.6677979766046</v>
      </c>
      <c r="K71" s="69">
        <v>5807.89</v>
      </c>
      <c r="L71" s="75">
        <f t="shared" si="32"/>
        <v>-7.7324082667473704E-3</v>
      </c>
      <c r="M71" s="72">
        <f t="shared" si="33"/>
        <v>3.4784683030011365E-3</v>
      </c>
      <c r="N71" s="72">
        <f t="shared" si="34"/>
        <v>0.7745454545456596</v>
      </c>
      <c r="O71" s="72">
        <f>K71-J71</f>
        <v>-3.7777979766042336</v>
      </c>
      <c r="P71" s="73">
        <f t="shared" si="35"/>
        <v>0.77802392284866073</v>
      </c>
      <c r="Q71" s="323"/>
      <c r="R71" s="324"/>
      <c r="S71" s="324"/>
      <c r="T71" s="324"/>
      <c r="U71" s="324"/>
      <c r="V71" s="324"/>
      <c r="W71" s="324"/>
      <c r="X71" s="325"/>
    </row>
    <row r="72" spans="1:24" s="59" customFormat="1" x14ac:dyDescent="0.2">
      <c r="A72" s="98" t="s">
        <v>86</v>
      </c>
      <c r="B72" s="72" t="s">
        <v>86</v>
      </c>
      <c r="C72" s="168">
        <f t="shared" si="30"/>
        <v>22315.200000000001</v>
      </c>
      <c r="D72" s="77">
        <v>22697.53</v>
      </c>
      <c r="E72" s="44">
        <v>22415.58</v>
      </c>
      <c r="F72" s="109">
        <v>22415.58</v>
      </c>
      <c r="G72" s="155">
        <f>$G$66+(2200-3080)*(($G$87-$G$66)/(0-3080))</f>
        <v>5806.0544289795916</v>
      </c>
      <c r="H72" s="187">
        <f>$H$66+(2200-3080)*(($H$87-$H$66)/(0-3080))</f>
        <v>5806.0471500649346</v>
      </c>
      <c r="I72" s="190">
        <f t="shared" si="31"/>
        <v>5806.0545454545454</v>
      </c>
      <c r="J72" s="82">
        <v>5810</v>
      </c>
      <c r="K72" s="69">
        <v>5807.59</v>
      </c>
      <c r="L72" s="75">
        <f t="shared" si="32"/>
        <v>-7.2789146570357843E-3</v>
      </c>
      <c r="M72" s="72">
        <f t="shared" si="33"/>
        <v>1.1647495375655126E-4</v>
      </c>
      <c r="N72" s="72">
        <f t="shared" si="34"/>
        <v>1.5354545454547406</v>
      </c>
      <c r="O72" s="72">
        <f t="shared" si="1"/>
        <v>-2.4099999999998545</v>
      </c>
      <c r="P72" s="73">
        <f t="shared" si="35"/>
        <v>1.5355710204084971</v>
      </c>
      <c r="Q72" s="323"/>
      <c r="R72" s="324"/>
      <c r="S72" s="324"/>
      <c r="T72" s="324"/>
      <c r="U72" s="324"/>
      <c r="V72" s="324"/>
      <c r="W72" s="324"/>
      <c r="X72" s="325"/>
    </row>
    <row r="73" spans="1:24" s="59" customFormat="1" x14ac:dyDescent="0.2">
      <c r="A73" s="98" t="s">
        <v>86</v>
      </c>
      <c r="B73" s="72" t="s">
        <v>86</v>
      </c>
      <c r="C73" s="168">
        <f t="shared" si="30"/>
        <v>22175.200000000001</v>
      </c>
      <c r="D73" s="77">
        <v>22575.98</v>
      </c>
      <c r="E73" s="44">
        <v>22297.18</v>
      </c>
      <c r="F73" s="109">
        <v>22297.18</v>
      </c>
      <c r="G73" s="155">
        <f>$G$66+(2053.33-3080)*(($G$87-$G$66)/(0-3080))</f>
        <v>5804.9968097732699</v>
      </c>
      <c r="H73" s="187">
        <f>$H$66+(2053.33-3080)*(($H$87-$H$66)/(0-3080))</f>
        <v>5804.9899843831436</v>
      </c>
      <c r="I73" s="190">
        <f t="shared" si="31"/>
        <v>5804.9936363636361</v>
      </c>
      <c r="J73" s="82">
        <v>5808.84</v>
      </c>
      <c r="K73" s="69">
        <v>5806.37</v>
      </c>
      <c r="L73" s="75">
        <f t="shared" si="32"/>
        <v>-6.8253901263233274E-3</v>
      </c>
      <c r="M73" s="72">
        <f t="shared" si="33"/>
        <v>-3.173409633745905E-3</v>
      </c>
      <c r="N73" s="72">
        <f t="shared" si="34"/>
        <v>1.3763636363637488</v>
      </c>
      <c r="O73" s="72">
        <f t="shared" si="1"/>
        <v>-2.4700000000002547</v>
      </c>
      <c r="P73" s="73">
        <f t="shared" si="35"/>
        <v>1.3731902267300029</v>
      </c>
      <c r="Q73" s="323"/>
      <c r="R73" s="324"/>
      <c r="S73" s="324"/>
      <c r="T73" s="324"/>
      <c r="U73" s="324"/>
      <c r="V73" s="324"/>
      <c r="W73" s="324"/>
      <c r="X73" s="325"/>
    </row>
    <row r="74" spans="1:24" s="59" customFormat="1" x14ac:dyDescent="0.2">
      <c r="A74" s="98" t="s">
        <v>86</v>
      </c>
      <c r="B74" s="72" t="s">
        <v>86</v>
      </c>
      <c r="C74" s="168">
        <f t="shared" si="30"/>
        <v>22035.200000000001</v>
      </c>
      <c r="D74" s="77">
        <v>22522.080000000002</v>
      </c>
      <c r="E74" s="44">
        <v>22254.880000000001</v>
      </c>
      <c r="F74" s="109">
        <v>22254.880000000001</v>
      </c>
      <c r="G74" s="155">
        <f>$G$66+(1906.66-3080)*(($G$87-$G$66)/(0-3080))</f>
        <v>5803.9391905669481</v>
      </c>
      <c r="H74" s="187">
        <f>$H$66+(1906.66-3080)*(($H$87-$H$66)/(0-3080))</f>
        <v>5803.9328187013525</v>
      </c>
      <c r="I74" s="190">
        <f t="shared" si="31"/>
        <v>5803.9327272727269</v>
      </c>
      <c r="J74" s="82">
        <v>5808.27</v>
      </c>
      <c r="K74" s="69">
        <v>5803.59</v>
      </c>
      <c r="L74" s="75">
        <f t="shared" si="32"/>
        <v>-6.3718655956108705E-3</v>
      </c>
      <c r="M74" s="72">
        <f t="shared" si="33"/>
        <v>-6.4632942212483613E-3</v>
      </c>
      <c r="N74" s="72">
        <f t="shared" si="34"/>
        <v>-0.34272727272673364</v>
      </c>
      <c r="O74" s="72">
        <f t="shared" si="1"/>
        <v>-4.680000000000291</v>
      </c>
      <c r="P74" s="73">
        <f t="shared" si="35"/>
        <v>-0.34919056694798201</v>
      </c>
      <c r="Q74" s="323"/>
      <c r="R74" s="324"/>
      <c r="S74" s="324"/>
      <c r="T74" s="324"/>
      <c r="U74" s="324"/>
      <c r="V74" s="324"/>
      <c r="W74" s="324"/>
      <c r="X74" s="325"/>
    </row>
    <row r="75" spans="1:24" s="59" customFormat="1" x14ac:dyDescent="0.2">
      <c r="A75" s="98" t="s">
        <v>86</v>
      </c>
      <c r="B75" s="72" t="s">
        <v>86</v>
      </c>
      <c r="C75" s="168">
        <f t="shared" si="30"/>
        <v>21895.200000000001</v>
      </c>
      <c r="D75" s="77">
        <v>22428.880000000001</v>
      </c>
      <c r="E75" s="44">
        <v>22159.98</v>
      </c>
      <c r="F75" s="109">
        <v>22159.98</v>
      </c>
      <c r="G75" s="155">
        <f>$G$66+(1760-3080)*(($G$87-$G$66)/(0-3080))</f>
        <v>5802.8816434693872</v>
      </c>
      <c r="H75" s="187">
        <f>$H$66+(1760-3080)*(($H$87-$H$66)/(0-3080))</f>
        <v>5802.8757250974022</v>
      </c>
      <c r="I75" s="190">
        <f t="shared" si="31"/>
        <v>5802.8718181818185</v>
      </c>
      <c r="J75" s="82">
        <v>5807.33</v>
      </c>
      <c r="K75" s="69">
        <v>5802.31</v>
      </c>
      <c r="L75" s="75">
        <f t="shared" si="32"/>
        <v>-5.9183719849897898E-3</v>
      </c>
      <c r="M75" s="72">
        <f t="shared" si="33"/>
        <v>-9.8252875686739571E-3</v>
      </c>
      <c r="N75" s="72">
        <f t="shared" si="34"/>
        <v>-0.56181818181812559</v>
      </c>
      <c r="O75" s="72">
        <f t="shared" si="1"/>
        <v>-5.0199999999995271</v>
      </c>
      <c r="P75" s="73">
        <f t="shared" si="35"/>
        <v>-0.57164346938679955</v>
      </c>
      <c r="Q75" s="323"/>
      <c r="R75" s="324"/>
      <c r="S75" s="324"/>
      <c r="T75" s="324"/>
      <c r="U75" s="324"/>
      <c r="V75" s="324"/>
      <c r="W75" s="324"/>
      <c r="X75" s="325"/>
    </row>
    <row r="76" spans="1:24" s="59" customFormat="1" x14ac:dyDescent="0.2">
      <c r="A76" s="98" t="s">
        <v>86</v>
      </c>
      <c r="B76" s="72" t="s">
        <v>86</v>
      </c>
      <c r="C76" s="168">
        <f t="shared" si="30"/>
        <v>21755.200000000001</v>
      </c>
      <c r="D76" s="77">
        <v>22311.48</v>
      </c>
      <c r="E76" s="44">
        <v>22062.880000000001</v>
      </c>
      <c r="F76" s="109">
        <v>22062.880000000001</v>
      </c>
      <c r="G76" s="155">
        <f>$G$66+(1613.33-3080)*(($G$87-$G$66)/(0-3080))</f>
        <v>5801.8240242630654</v>
      </c>
      <c r="H76" s="187">
        <f>$H$66+(1613.33-3080)*(($H$87-$H$66)/(0-3080))</f>
        <v>5801.8185594156112</v>
      </c>
      <c r="I76" s="190">
        <f t="shared" si="31"/>
        <v>5801.8109090909093</v>
      </c>
      <c r="J76" s="82">
        <v>5805.64</v>
      </c>
      <c r="K76" s="69">
        <v>5801.24</v>
      </c>
      <c r="L76" s="75">
        <f t="shared" si="32"/>
        <v>-5.4648474542773329E-3</v>
      </c>
      <c r="M76" s="72">
        <f t="shared" si="33"/>
        <v>-1.3115172156176413E-2</v>
      </c>
      <c r="N76" s="72">
        <f t="shared" si="34"/>
        <v>-0.57090909090948116</v>
      </c>
      <c r="O76" s="72">
        <f t="shared" si="1"/>
        <v>-4.4000000000005457</v>
      </c>
      <c r="P76" s="73">
        <f t="shared" si="35"/>
        <v>-0.58402426306565758</v>
      </c>
      <c r="Q76" s="323"/>
      <c r="R76" s="324"/>
      <c r="S76" s="324"/>
      <c r="T76" s="324"/>
      <c r="U76" s="324"/>
      <c r="V76" s="324"/>
      <c r="W76" s="324"/>
      <c r="X76" s="325"/>
    </row>
    <row r="77" spans="1:24" s="59" customFormat="1" x14ac:dyDescent="0.2">
      <c r="A77" s="98" t="s">
        <v>86</v>
      </c>
      <c r="B77" s="72" t="s">
        <v>86</v>
      </c>
      <c r="C77" s="168">
        <f t="shared" si="30"/>
        <v>21615.200000000001</v>
      </c>
      <c r="D77" s="77">
        <v>22274.880000000001</v>
      </c>
      <c r="E77" s="44">
        <v>22018.68</v>
      </c>
      <c r="F77" s="109">
        <v>22018.68</v>
      </c>
      <c r="G77" s="155">
        <f>$G$66+(1466.67-3080)*(($G$87-$G$66)/(0-3080))</f>
        <v>5800.7664771655054</v>
      </c>
      <c r="H77" s="187">
        <f>$H$66+(1466.67-3080)*(($H$87-$H$66)/(0-3080))</f>
        <v>5800.7614658116609</v>
      </c>
      <c r="I77" s="190">
        <f t="shared" si="31"/>
        <v>5800.75</v>
      </c>
      <c r="J77" s="82">
        <v>5804.52</v>
      </c>
      <c r="K77" s="69">
        <v>5798.43</v>
      </c>
      <c r="L77" s="75">
        <f t="shared" si="32"/>
        <v>-5.0113538445657468E-3</v>
      </c>
      <c r="M77" s="72">
        <f t="shared" si="33"/>
        <v>-1.6477165505420999E-2</v>
      </c>
      <c r="N77" s="72">
        <f t="shared" si="34"/>
        <v>-2.319999999999709</v>
      </c>
      <c r="O77" s="72">
        <f t="shared" si="1"/>
        <v>-6.0900000000001455</v>
      </c>
      <c r="P77" s="73">
        <f t="shared" si="35"/>
        <v>-2.33647716550513</v>
      </c>
      <c r="Q77" s="314"/>
      <c r="R77" s="315"/>
      <c r="S77" s="315"/>
      <c r="T77" s="315"/>
      <c r="U77" s="315"/>
      <c r="V77" s="315"/>
      <c r="W77" s="315"/>
      <c r="X77" s="316"/>
    </row>
    <row r="78" spans="1:24" s="59" customFormat="1" x14ac:dyDescent="0.2">
      <c r="A78" s="98" t="s">
        <v>86</v>
      </c>
      <c r="B78" s="72" t="s">
        <v>86</v>
      </c>
      <c r="C78" s="168">
        <f t="shared" si="30"/>
        <v>21475.200000000001</v>
      </c>
      <c r="D78" s="77">
        <v>22104.080000000002</v>
      </c>
      <c r="E78" s="44">
        <v>21853.58</v>
      </c>
      <c r="F78" s="109">
        <v>21853.58</v>
      </c>
      <c r="G78" s="155">
        <f>$G$66+(1320-3080)*(($G$87-$G$66)/(0-3080))</f>
        <v>5799.7088579591837</v>
      </c>
      <c r="H78" s="187">
        <f>$H$66+(1320-3080)*(($H$87-$H$66)/(0-3080))</f>
        <v>5799.7043001298698</v>
      </c>
      <c r="I78" s="190">
        <f t="shared" si="31"/>
        <v>5799.6890909090907</v>
      </c>
      <c r="J78" s="82">
        <v>5802.98</v>
      </c>
      <c r="K78" s="69">
        <v>5797.46</v>
      </c>
      <c r="L78" s="75">
        <f t="shared" si="32"/>
        <v>-4.5578293138532899E-3</v>
      </c>
      <c r="M78" s="72">
        <f t="shared" si="33"/>
        <v>-1.9767050092923455E-2</v>
      </c>
      <c r="N78" s="72">
        <f t="shared" si="34"/>
        <v>-2.2290909090907007</v>
      </c>
      <c r="O78" s="72">
        <f t="shared" si="1"/>
        <v>-5.5199999999995271</v>
      </c>
      <c r="P78" s="73">
        <f t="shared" si="35"/>
        <v>-2.2488579591836242</v>
      </c>
      <c r="Q78" s="341"/>
      <c r="R78" s="342"/>
      <c r="S78" s="342"/>
      <c r="T78" s="342"/>
      <c r="U78" s="342"/>
      <c r="V78" s="342"/>
      <c r="W78" s="342"/>
      <c r="X78" s="343"/>
    </row>
    <row r="79" spans="1:24" x14ac:dyDescent="0.2">
      <c r="A79" s="100" t="s">
        <v>86</v>
      </c>
      <c r="B79" s="102" t="s">
        <v>86</v>
      </c>
      <c r="C79" s="168">
        <f t="shared" si="30"/>
        <v>21335.200000000001</v>
      </c>
      <c r="D79" s="77">
        <v>21740.880000000001</v>
      </c>
      <c r="E79" s="137">
        <v>21584.28</v>
      </c>
      <c r="F79" s="109">
        <v>21584.280000000002</v>
      </c>
      <c r="G79" s="155">
        <f>$G$66+(1173.33-3080)*(($G$87-$G$66)/(0-3080))</f>
        <v>5798.6512387528619</v>
      </c>
      <c r="H79" s="187">
        <f>$H$66+(1173.33-3080)*(($H$87-$H$66)/(0-3080))</f>
        <v>5798.6471344480788</v>
      </c>
      <c r="I79" s="190">
        <f t="shared" si="31"/>
        <v>5798.6281818181815</v>
      </c>
      <c r="J79" s="81">
        <v>5800.86</v>
      </c>
      <c r="K79" s="199">
        <v>5795.67</v>
      </c>
      <c r="L79" s="75">
        <f t="shared" si="32"/>
        <v>-4.104304783140833E-3</v>
      </c>
      <c r="M79" s="72">
        <f t="shared" si="33"/>
        <v>-2.3056934680425911E-2</v>
      </c>
      <c r="N79" s="72">
        <f t="shared" si="34"/>
        <v>-2.9581818181814015</v>
      </c>
      <c r="O79" s="72">
        <f t="shared" si="1"/>
        <v>-5.1899999999995998</v>
      </c>
      <c r="P79" s="73">
        <f t="shared" si="35"/>
        <v>-2.9812387528618274</v>
      </c>
      <c r="Q79" s="326"/>
      <c r="R79" s="327"/>
      <c r="S79" s="327"/>
      <c r="T79" s="327"/>
      <c r="U79" s="327"/>
      <c r="V79" s="327"/>
      <c r="W79" s="327"/>
      <c r="X79" s="328"/>
    </row>
    <row r="80" spans="1:24" x14ac:dyDescent="0.2">
      <c r="A80" s="99" t="s">
        <v>86</v>
      </c>
      <c r="B80" s="72" t="s">
        <v>86</v>
      </c>
      <c r="C80" s="168">
        <f t="shared" si="30"/>
        <v>21195.200000000001</v>
      </c>
      <c r="D80" s="72">
        <v>21682.78</v>
      </c>
      <c r="E80" s="44">
        <v>21546.48</v>
      </c>
      <c r="F80" s="109">
        <v>21546.480000000003</v>
      </c>
      <c r="G80" s="155">
        <f>$G$66+(1026.67-3080)*(($G$87-$G$66)/(0-3080))</f>
        <v>5797.593691655301</v>
      </c>
      <c r="H80" s="187">
        <f>$H$66+(1026.67-3080)*(($H$87-$H$66)/(0-3080))</f>
        <v>5797.5900408441285</v>
      </c>
      <c r="I80" s="190">
        <f t="shared" si="31"/>
        <v>5797.5672727272731</v>
      </c>
      <c r="J80" s="200">
        <v>5799.85</v>
      </c>
      <c r="K80" s="73">
        <v>5794.04</v>
      </c>
      <c r="L80" s="75">
        <f t="shared" si="32"/>
        <v>-3.6508111725197523E-3</v>
      </c>
      <c r="M80" s="72">
        <f t="shared" si="33"/>
        <v>-2.6418928027851507E-2</v>
      </c>
      <c r="N80" s="72">
        <f t="shared" si="34"/>
        <v>-3.5272727272731572</v>
      </c>
      <c r="O80" s="72">
        <f t="shared" si="1"/>
        <v>-5.8100000000004002</v>
      </c>
      <c r="P80" s="73">
        <f t="shared" si="35"/>
        <v>-3.5536916553010087</v>
      </c>
      <c r="Q80" s="329"/>
      <c r="R80" s="330"/>
      <c r="S80" s="330"/>
      <c r="T80" s="330"/>
      <c r="U80" s="330"/>
      <c r="V80" s="330"/>
      <c r="W80" s="330"/>
      <c r="X80" s="331"/>
    </row>
    <row r="81" spans="1:24" x14ac:dyDescent="0.2">
      <c r="A81" s="99" t="s">
        <v>86</v>
      </c>
      <c r="B81" s="72" t="s">
        <v>86</v>
      </c>
      <c r="C81" s="168">
        <f t="shared" si="30"/>
        <v>21055.200000000001</v>
      </c>
      <c r="D81" s="72">
        <v>21430.080000000002</v>
      </c>
      <c r="E81" s="80">
        <v>21379.18</v>
      </c>
      <c r="F81" s="109">
        <v>21379.180000000004</v>
      </c>
      <c r="G81" s="155">
        <f>$G$66+(880-3080)*(($G$87-$G$66)/(0-3080))</f>
        <v>5796.5360724489792</v>
      </c>
      <c r="H81" s="187">
        <f>$H$66+(880-3080)*(($H$87-$H$66)/(0-3080))</f>
        <v>5796.5328751623374</v>
      </c>
      <c r="I81" s="190">
        <f t="shared" si="31"/>
        <v>5796.5063636363639</v>
      </c>
      <c r="J81" s="200">
        <v>5797.87</v>
      </c>
      <c r="K81" s="73">
        <v>5793.19</v>
      </c>
      <c r="L81" s="75">
        <f t="shared" si="32"/>
        <v>-3.1972866418072954E-3</v>
      </c>
      <c r="M81" s="72">
        <f t="shared" si="33"/>
        <v>-2.9708812615353963E-2</v>
      </c>
      <c r="N81" s="72">
        <f t="shared" si="34"/>
        <v>-3.3163636363642581</v>
      </c>
      <c r="O81" s="72">
        <f t="shared" si="1"/>
        <v>-4.680000000000291</v>
      </c>
      <c r="P81" s="73">
        <f t="shared" si="35"/>
        <v>-3.3460724489796121</v>
      </c>
      <c r="Q81" s="329"/>
      <c r="R81" s="330"/>
      <c r="S81" s="330"/>
      <c r="T81" s="330"/>
      <c r="U81" s="330"/>
      <c r="V81" s="330"/>
      <c r="W81" s="330"/>
      <c r="X81" s="331"/>
    </row>
    <row r="82" spans="1:24" x14ac:dyDescent="0.2">
      <c r="A82" s="100" t="s">
        <v>86</v>
      </c>
      <c r="B82" s="102" t="s">
        <v>86</v>
      </c>
      <c r="C82" s="168">
        <f t="shared" si="30"/>
        <v>20915.2</v>
      </c>
      <c r="D82" s="77">
        <v>21259.78</v>
      </c>
      <c r="E82" s="137">
        <v>21244.98</v>
      </c>
      <c r="F82" s="109">
        <v>21244.980000000003</v>
      </c>
      <c r="G82" s="155">
        <f>$G$66+(733.3-3080)*(($G$87-$G$66)/(0-3080))</f>
        <v>5795.4782369163722</v>
      </c>
      <c r="H82" s="187">
        <f>$H$66+(733.3-3080)*(($H$87-$H$66)/(0-3080))</f>
        <v>5795.475493247026</v>
      </c>
      <c r="I82" s="190">
        <f t="shared" si="31"/>
        <v>5795.4454545454546</v>
      </c>
      <c r="J82" s="79">
        <v>5796.38</v>
      </c>
      <c r="K82" s="199">
        <v>5791.9</v>
      </c>
      <c r="L82" s="75">
        <f t="shared" si="32"/>
        <v>-2.7436693462732364E-3</v>
      </c>
      <c r="M82" s="72">
        <f t="shared" si="33"/>
        <v>-3.2782370917630033E-2</v>
      </c>
      <c r="N82" s="72">
        <f t="shared" si="34"/>
        <v>-3.5454545454549589</v>
      </c>
      <c r="O82" s="72">
        <f t="shared" si="1"/>
        <v>-4.4800000000004729</v>
      </c>
      <c r="P82" s="73">
        <f t="shared" si="35"/>
        <v>-3.5782369163725889</v>
      </c>
      <c r="Q82" s="329"/>
      <c r="R82" s="330"/>
      <c r="S82" s="330"/>
      <c r="T82" s="330"/>
      <c r="U82" s="330"/>
      <c r="V82" s="330"/>
      <c r="W82" s="330"/>
      <c r="X82" s="331"/>
    </row>
    <row r="83" spans="1:24" x14ac:dyDescent="0.2">
      <c r="A83" s="99" t="s">
        <v>86</v>
      </c>
      <c r="B83" s="72" t="s">
        <v>86</v>
      </c>
      <c r="C83" s="168">
        <f t="shared" si="30"/>
        <v>20775.2</v>
      </c>
      <c r="D83" s="77">
        <v>21215.48</v>
      </c>
      <c r="E83" s="44">
        <v>21208.28</v>
      </c>
      <c r="F83" s="109">
        <v>21208.280000000002</v>
      </c>
      <c r="G83" s="155">
        <f>$G$66+(586.67-3080)*(($G$87-$G$66)/(0-3080))</f>
        <v>5794.4209061450974</v>
      </c>
      <c r="H83" s="187">
        <f>$H$66+(586.67-3080)*(($H$87-$H$66)/(0-3080))</f>
        <v>5794.418615876596</v>
      </c>
      <c r="I83" s="190">
        <f t="shared" si="31"/>
        <v>5794.3845454545453</v>
      </c>
      <c r="J83" s="81">
        <v>5795.88</v>
      </c>
      <c r="K83" s="73">
        <v>5790</v>
      </c>
      <c r="L83" s="75">
        <f t="shared" si="32"/>
        <v>-2.2902685013832524E-3</v>
      </c>
      <c r="M83" s="72">
        <f t="shared" si="33"/>
        <v>-3.6360690552101005E-2</v>
      </c>
      <c r="N83" s="72">
        <f t="shared" si="34"/>
        <v>-4.3845454545453322</v>
      </c>
      <c r="O83" s="72">
        <f t="shared" si="1"/>
        <v>-5.8800000000001091</v>
      </c>
      <c r="P83" s="73">
        <f t="shared" si="35"/>
        <v>-4.4209061450974332</v>
      </c>
      <c r="Q83" s="329"/>
      <c r="R83" s="330"/>
      <c r="S83" s="330"/>
      <c r="T83" s="330"/>
      <c r="U83" s="330"/>
      <c r="V83" s="330"/>
      <c r="W83" s="330"/>
      <c r="X83" s="331"/>
    </row>
    <row r="84" spans="1:24" x14ac:dyDescent="0.2">
      <c r="A84" s="99" t="s">
        <v>86</v>
      </c>
      <c r="B84" s="72" t="s">
        <v>86</v>
      </c>
      <c r="C84" s="168">
        <f t="shared" si="30"/>
        <v>20635.2</v>
      </c>
      <c r="D84" s="77">
        <v>20842.38</v>
      </c>
      <c r="E84" s="44">
        <v>20946.38</v>
      </c>
      <c r="F84" s="109">
        <v>20946.38</v>
      </c>
      <c r="G84" s="155">
        <f>$G$66+(440-3080)*(($G$87-$G$66)/(0-3080))</f>
        <v>5793.3632869387757</v>
      </c>
      <c r="H84" s="187">
        <f>$H$66+(440-3080)*(($H$87-$H$66)/(0-3080))</f>
        <v>5793.361450194805</v>
      </c>
      <c r="I84" s="190">
        <f t="shared" si="31"/>
        <v>5793.3236363636361</v>
      </c>
      <c r="J84" s="81">
        <v>5793.81</v>
      </c>
      <c r="K84" s="73">
        <v>5789.01</v>
      </c>
      <c r="L84" s="75">
        <f t="shared" si="32"/>
        <v>-1.8367439706707955E-3</v>
      </c>
      <c r="M84" s="72">
        <f t="shared" si="33"/>
        <v>-3.9650575139603461E-2</v>
      </c>
      <c r="N84" s="72">
        <f t="shared" si="34"/>
        <v>-4.313636363635851</v>
      </c>
      <c r="O84" s="72">
        <f t="shared" si="1"/>
        <v>-4.8000000000001819</v>
      </c>
      <c r="P84" s="73">
        <f t="shared" si="35"/>
        <v>-4.3532869387754545</v>
      </c>
      <c r="Q84" s="329"/>
      <c r="R84" s="330"/>
      <c r="S84" s="330"/>
      <c r="T84" s="330"/>
      <c r="U84" s="330"/>
      <c r="V84" s="330"/>
      <c r="W84" s="330"/>
      <c r="X84" s="331"/>
    </row>
    <row r="85" spans="1:24" x14ac:dyDescent="0.2">
      <c r="A85" s="100" t="s">
        <v>86</v>
      </c>
      <c r="B85" s="102" t="s">
        <v>86</v>
      </c>
      <c r="C85" s="168">
        <f t="shared" si="30"/>
        <v>20495.2</v>
      </c>
      <c r="D85" s="77">
        <v>20637.68</v>
      </c>
      <c r="E85" s="137">
        <v>20729.88</v>
      </c>
      <c r="F85" s="109">
        <v>20729.88</v>
      </c>
      <c r="G85" s="155">
        <f>$G$66+(293.33-3080)*(($G$87-$G$66)/(0-3080))</f>
        <v>5792.305667732453</v>
      </c>
      <c r="H85" s="187">
        <f>$H$66+(293.33-3080)*(($H$87-$H$66)/(0-3080))</f>
        <v>5792.304284513014</v>
      </c>
      <c r="I85" s="190">
        <f t="shared" si="31"/>
        <v>5792.2627272727268</v>
      </c>
      <c r="J85" s="81">
        <v>5791.46</v>
      </c>
      <c r="K85" s="199">
        <v>5787.38</v>
      </c>
      <c r="L85" s="75">
        <f t="shared" si="32"/>
        <v>-1.3832194390488439E-3</v>
      </c>
      <c r="M85" s="72">
        <f t="shared" si="33"/>
        <v>-4.2940459726196423E-2</v>
      </c>
      <c r="N85" s="72">
        <f t="shared" si="34"/>
        <v>-4.8827272727266973</v>
      </c>
      <c r="O85" s="72">
        <f t="shared" ref="O85:O146" si="36">K85-J85</f>
        <v>-4.0799999999999272</v>
      </c>
      <c r="P85" s="73">
        <f t="shared" si="35"/>
        <v>-4.9256677324528937</v>
      </c>
      <c r="Q85" s="329"/>
      <c r="R85" s="330"/>
      <c r="S85" s="330"/>
      <c r="T85" s="330"/>
      <c r="U85" s="330"/>
      <c r="V85" s="330"/>
      <c r="W85" s="330"/>
      <c r="X85" s="331"/>
    </row>
    <row r="86" spans="1:24" x14ac:dyDescent="0.2">
      <c r="A86" s="99" t="s">
        <v>86</v>
      </c>
      <c r="B86" s="72" t="s">
        <v>86</v>
      </c>
      <c r="C86" s="168">
        <f t="shared" si="30"/>
        <v>20355.2</v>
      </c>
      <c r="D86" s="34">
        <v>20601.080000000002</v>
      </c>
      <c r="E86" s="44">
        <v>20692.78</v>
      </c>
      <c r="F86" s="109">
        <v>20692.780000000002</v>
      </c>
      <c r="G86" s="155">
        <f>$G$66+(146.67-3080)*(($G$87-$G$66)/(0-3080))</f>
        <v>5791.248120634893</v>
      </c>
      <c r="H86" s="187">
        <f>$H$66+(146.67-3080)*(($H$87-$H$66)/(0-3080))</f>
        <v>5791.2471909090636</v>
      </c>
      <c r="I86" s="190">
        <f t="shared" si="31"/>
        <v>5791.2018181818185</v>
      </c>
      <c r="J86" s="81">
        <v>5791.23</v>
      </c>
      <c r="K86" s="73">
        <v>5785.35</v>
      </c>
      <c r="L86" s="75">
        <f t="shared" si="32"/>
        <v>-9.2972582933725789E-4</v>
      </c>
      <c r="M86" s="72">
        <f t="shared" si="33"/>
        <v>-4.6302453074531513E-2</v>
      </c>
      <c r="N86" s="72">
        <f t="shared" si="34"/>
        <v>-5.8518181818180892</v>
      </c>
      <c r="O86" s="72">
        <f t="shared" si="36"/>
        <v>-5.8799999999991996</v>
      </c>
      <c r="P86" s="73">
        <f t="shared" si="35"/>
        <v>-5.8981206348926207</v>
      </c>
      <c r="Q86" s="329"/>
      <c r="R86" s="330"/>
      <c r="S86" s="330"/>
      <c r="T86" s="330"/>
      <c r="U86" s="330"/>
      <c r="V86" s="330"/>
      <c r="W86" s="330"/>
      <c r="X86" s="331"/>
    </row>
    <row r="87" spans="1:24" x14ac:dyDescent="0.2">
      <c r="A87" s="101" t="s">
        <v>86</v>
      </c>
      <c r="B87" s="79" t="s">
        <v>86</v>
      </c>
      <c r="C87" s="168">
        <f t="shared" si="30"/>
        <v>20215.2</v>
      </c>
      <c r="D87" s="77">
        <v>20390.38</v>
      </c>
      <c r="E87" s="44">
        <v>20470.88</v>
      </c>
      <c r="F87" s="109">
        <v>20470.88</v>
      </c>
      <c r="G87" s="155">
        <f>$G$66+(146.67-3080)*(($G$88-$G$66)/(0-3080))</f>
        <v>5790.1905014285712</v>
      </c>
      <c r="H87" s="187">
        <f>$H$66+(146.67-3080)*(($H$88-$H$66)/(0-3080))</f>
        <v>5790.1900252272726</v>
      </c>
      <c r="I87" s="190">
        <f t="shared" si="31"/>
        <v>5790.1409090909092</v>
      </c>
      <c r="J87" s="82">
        <v>5789.71</v>
      </c>
      <c r="K87" s="69">
        <v>5784.33</v>
      </c>
      <c r="L87" s="92">
        <f t="shared" si="9"/>
        <v>-4.7620129862480098E-4</v>
      </c>
      <c r="M87" s="72">
        <f t="shared" si="10"/>
        <v>-4.959233766203397E-2</v>
      </c>
      <c r="N87" s="72">
        <f t="shared" si="11"/>
        <v>-5.8109090909092629</v>
      </c>
      <c r="O87" s="72">
        <f t="shared" si="36"/>
        <v>-5.3800000000001091</v>
      </c>
      <c r="P87" s="73">
        <f t="shared" ref="P87:P146" si="37">K87-G87</f>
        <v>-5.8605014285712969</v>
      </c>
      <c r="Q87" s="329"/>
      <c r="R87" s="330"/>
      <c r="S87" s="330"/>
      <c r="T87" s="330"/>
      <c r="U87" s="330"/>
      <c r="V87" s="330"/>
      <c r="W87" s="330"/>
      <c r="X87" s="331"/>
    </row>
    <row r="88" spans="1:24" x14ac:dyDescent="0.2">
      <c r="A88" s="63" t="s">
        <v>100</v>
      </c>
      <c r="B88" s="79">
        <v>20075.2</v>
      </c>
      <c r="C88" s="79">
        <v>20075.2</v>
      </c>
      <c r="D88" s="77">
        <v>20176.080000000002</v>
      </c>
      <c r="E88" s="44">
        <v>20247.28</v>
      </c>
      <c r="F88" s="109">
        <v>20247.280000000002</v>
      </c>
      <c r="G88" s="126">
        <v>5789.08</v>
      </c>
      <c r="H88" s="126">
        <v>5789.08</v>
      </c>
      <c r="I88" s="68">
        <v>5789.08</v>
      </c>
      <c r="J88" s="82">
        <v>5787.79</v>
      </c>
      <c r="K88" s="69">
        <v>5782.67</v>
      </c>
      <c r="L88" s="75">
        <f>H88-G88</f>
        <v>0</v>
      </c>
      <c r="M88" s="72">
        <f>I88-G88</f>
        <v>0</v>
      </c>
      <c r="N88" s="72">
        <f>K88-I88</f>
        <v>-6.4099999999998545</v>
      </c>
      <c r="O88" s="72">
        <f t="shared" si="36"/>
        <v>-5.1199999999998909</v>
      </c>
      <c r="P88" s="73">
        <f>K88-G88</f>
        <v>-6.4099999999998545</v>
      </c>
      <c r="Q88" s="329"/>
      <c r="R88" s="330"/>
      <c r="S88" s="330"/>
      <c r="T88" s="330"/>
      <c r="U88" s="330"/>
      <c r="V88" s="330"/>
      <c r="W88" s="330"/>
      <c r="X88" s="331"/>
    </row>
    <row r="89" spans="1:24" x14ac:dyDescent="0.2">
      <c r="A89" s="78" t="s">
        <v>86</v>
      </c>
      <c r="B89" s="79" t="s">
        <v>86</v>
      </c>
      <c r="C89" s="190">
        <f>C88-(1300/10)</f>
        <v>19945.2</v>
      </c>
      <c r="D89" s="77">
        <v>20137.28</v>
      </c>
      <c r="E89" s="44">
        <v>20207.28</v>
      </c>
      <c r="F89" s="109">
        <v>20207.280000000002</v>
      </c>
      <c r="G89" s="155">
        <f>$G$88+(1063.64-1300)*(($G$98-$G$88)/(0-1300))</f>
        <v>5786.5964018461536</v>
      </c>
      <c r="H89" s="187">
        <f>$H$88+(1063.64-1300)*(($H$98-$H$88)/(0-1300))</f>
        <v>5786.5818566153848</v>
      </c>
      <c r="I89" s="195">
        <f>$I$88+(C89-$C$88)*(($I$98-$I$88)/($C$98-$C$88))</f>
        <v>5787.7070000000003</v>
      </c>
      <c r="J89" s="82">
        <v>5787.48</v>
      </c>
      <c r="K89" s="69">
        <v>5780.55</v>
      </c>
      <c r="L89" s="75">
        <f t="shared" ref="L89:L97" si="38">H89-G89</f>
        <v>-1.4545230768817419E-2</v>
      </c>
      <c r="M89" s="72">
        <f t="shared" ref="M89:M97" si="39">I89-G89</f>
        <v>1.1105981538466949</v>
      </c>
      <c r="N89" s="72">
        <f t="shared" ref="N89:N97" si="40">K89-I89</f>
        <v>-7.1570000000001528</v>
      </c>
      <c r="O89" s="72">
        <f t="shared" si="36"/>
        <v>-6.9299999999993815</v>
      </c>
      <c r="P89" s="73">
        <f t="shared" ref="P89:P97" si="41">K89-G89</f>
        <v>-6.0464018461534579</v>
      </c>
      <c r="Q89" s="326"/>
      <c r="R89" s="327"/>
      <c r="S89" s="327"/>
      <c r="T89" s="327"/>
      <c r="U89" s="327"/>
      <c r="V89" s="327"/>
      <c r="W89" s="327"/>
      <c r="X89" s="328"/>
    </row>
    <row r="90" spans="1:24" x14ac:dyDescent="0.2">
      <c r="A90" s="78" t="s">
        <v>86</v>
      </c>
      <c r="B90" s="79" t="s">
        <v>86</v>
      </c>
      <c r="C90" s="190">
        <f t="shared" ref="C90:C97" si="42">C89-(1300/10)</f>
        <v>19815.2</v>
      </c>
      <c r="D90" s="77">
        <v>19977.580000000002</v>
      </c>
      <c r="E90" s="44">
        <v>20045.580000000002</v>
      </c>
      <c r="F90" s="109">
        <v>20045.580000000002</v>
      </c>
      <c r="G90" s="155">
        <f>$G$88+(945.46-1300)*(($G$98-$G$88)/(0-1300))</f>
        <v>5785.354602769231</v>
      </c>
      <c r="H90" s="187">
        <f>$H$88+(945.46-1300)*(($H$98-$H$88)/(0-1300))</f>
        <v>5785.3327849230764</v>
      </c>
      <c r="I90" s="195">
        <f t="shared" ref="I90:I97" si="43">$I$88+(C90-$C$88)*(($I$98-$I$88)/($C$98-$C$88))</f>
        <v>5786.3339999999998</v>
      </c>
      <c r="J90" s="82">
        <v>5785.78</v>
      </c>
      <c r="K90" s="69">
        <v>5779.81</v>
      </c>
      <c r="L90" s="75">
        <f t="shared" si="38"/>
        <v>-2.181784615459037E-2</v>
      </c>
      <c r="M90" s="72">
        <f t="shared" si="39"/>
        <v>0.97939723076888185</v>
      </c>
      <c r="N90" s="72">
        <f t="shared" si="40"/>
        <v>-6.5239999999994325</v>
      </c>
      <c r="O90" s="72">
        <f t="shared" si="36"/>
        <v>-5.9699999999993452</v>
      </c>
      <c r="P90" s="73">
        <f t="shared" si="41"/>
        <v>-5.5446027692305506</v>
      </c>
      <c r="Q90" s="326"/>
      <c r="R90" s="327"/>
      <c r="S90" s="327"/>
      <c r="T90" s="327"/>
      <c r="U90" s="327"/>
      <c r="V90" s="327"/>
      <c r="W90" s="327"/>
      <c r="X90" s="328"/>
    </row>
    <row r="91" spans="1:24" x14ac:dyDescent="0.2">
      <c r="A91" s="78" t="s">
        <v>86</v>
      </c>
      <c r="B91" s="79" t="s">
        <v>86</v>
      </c>
      <c r="C91" s="190">
        <f t="shared" si="42"/>
        <v>19685.2</v>
      </c>
      <c r="D91" s="77">
        <v>19729.080000000002</v>
      </c>
      <c r="E91" s="44">
        <v>19786.78</v>
      </c>
      <c r="F91" s="109">
        <v>19786.780000000002</v>
      </c>
      <c r="G91" s="155">
        <f>$G$88+(827.3-1300)*(($G$98-$G$88)/(0-1300))</f>
        <v>5784.113013846154</v>
      </c>
      <c r="H91" s="187">
        <f>$H$88+(827.3-1300)*(($H$98-$H$88)/(0-1300))</f>
        <v>5784.0839246153846</v>
      </c>
      <c r="I91" s="195">
        <f t="shared" si="43"/>
        <v>5784.9610000000002</v>
      </c>
      <c r="J91" s="82">
        <v>5783.82</v>
      </c>
      <c r="K91" s="69">
        <v>5778</v>
      </c>
      <c r="L91" s="75">
        <f t="shared" si="38"/>
        <v>-2.9089230769386631E-2</v>
      </c>
      <c r="M91" s="72">
        <f t="shared" si="39"/>
        <v>0.84798615384625009</v>
      </c>
      <c r="N91" s="72">
        <f t="shared" si="40"/>
        <v>-6.9610000000002401</v>
      </c>
      <c r="O91" s="72">
        <f t="shared" si="36"/>
        <v>-5.819999999999709</v>
      </c>
      <c r="P91" s="73">
        <f t="shared" si="41"/>
        <v>-6.11301384615399</v>
      </c>
      <c r="Q91" s="326"/>
      <c r="R91" s="327"/>
      <c r="S91" s="327"/>
      <c r="T91" s="327"/>
      <c r="U91" s="327"/>
      <c r="V91" s="327"/>
      <c r="W91" s="327"/>
      <c r="X91" s="328"/>
    </row>
    <row r="92" spans="1:24" x14ac:dyDescent="0.2">
      <c r="A92" s="78" t="s">
        <v>86</v>
      </c>
      <c r="B92" s="79" t="s">
        <v>86</v>
      </c>
      <c r="C92" s="190">
        <f t="shared" si="42"/>
        <v>19555.2</v>
      </c>
      <c r="D92" s="77">
        <v>19689.080000000002</v>
      </c>
      <c r="E92" s="44">
        <v>19746.080000000002</v>
      </c>
      <c r="F92" s="109">
        <v>19746.080000000002</v>
      </c>
      <c r="G92" s="155">
        <f>$G$88+(709.1-1300)*(($G$98-$G$88)/(0-1300))</f>
        <v>5782.8710046153847</v>
      </c>
      <c r="H92" s="187">
        <f>$H$88+(709.1-1300)*(($H$98-$H$88)/(0-1300))</f>
        <v>5782.8346415384613</v>
      </c>
      <c r="I92" s="195">
        <f t="shared" si="43"/>
        <v>5783.5879999999997</v>
      </c>
      <c r="J92" s="82">
        <v>5783.09</v>
      </c>
      <c r="K92" s="69">
        <v>5776.56</v>
      </c>
      <c r="L92" s="75">
        <f t="shared" si="38"/>
        <v>-3.6363076923407789E-2</v>
      </c>
      <c r="M92" s="72">
        <f t="shared" si="39"/>
        <v>0.71699538461507473</v>
      </c>
      <c r="N92" s="72">
        <f t="shared" si="40"/>
        <v>-7.0279999999993379</v>
      </c>
      <c r="O92" s="72">
        <f t="shared" si="36"/>
        <v>-6.5299999999997453</v>
      </c>
      <c r="P92" s="73">
        <f t="shared" si="41"/>
        <v>-6.3110046153842632</v>
      </c>
      <c r="Q92" s="326"/>
      <c r="R92" s="327"/>
      <c r="S92" s="327"/>
      <c r="T92" s="327"/>
      <c r="U92" s="327"/>
      <c r="V92" s="327"/>
      <c r="W92" s="327"/>
      <c r="X92" s="328"/>
    </row>
    <row r="93" spans="1:24" x14ac:dyDescent="0.2">
      <c r="A93" s="78" t="s">
        <v>86</v>
      </c>
      <c r="B93" s="79" t="s">
        <v>86</v>
      </c>
      <c r="C93" s="190">
        <f t="shared" si="42"/>
        <v>19425.2</v>
      </c>
      <c r="D93" s="77">
        <v>19573.580000000002</v>
      </c>
      <c r="E93" s="44">
        <v>19621.68</v>
      </c>
      <c r="F93" s="109">
        <v>19621.68</v>
      </c>
      <c r="G93" s="155">
        <f>$G$88+(590.91-1300)*(($G$98-$G$88)/(0-1300))</f>
        <v>5781.6291004615387</v>
      </c>
      <c r="H93" s="187">
        <f>$H$88+(590.91-1300)*(($H$98-$H$88)/(0-1300))</f>
        <v>5781.5854641538454</v>
      </c>
      <c r="I93" s="195">
        <f t="shared" si="43"/>
        <v>5782.2150000000001</v>
      </c>
      <c r="J93" s="82">
        <v>5779.68</v>
      </c>
      <c r="K93" s="69">
        <v>5776.16</v>
      </c>
      <c r="L93" s="75">
        <f t="shared" si="38"/>
        <v>-4.3636307693304843E-2</v>
      </c>
      <c r="M93" s="72">
        <f t="shared" si="39"/>
        <v>0.58589953846149001</v>
      </c>
      <c r="N93" s="72">
        <f t="shared" si="40"/>
        <v>-6.055000000000291</v>
      </c>
      <c r="O93" s="72">
        <f t="shared" si="36"/>
        <v>-3.5200000000004366</v>
      </c>
      <c r="P93" s="73">
        <f t="shared" si="41"/>
        <v>-5.469100461538801</v>
      </c>
      <c r="Q93" s="326"/>
      <c r="R93" s="327"/>
      <c r="S93" s="327"/>
      <c r="T93" s="327"/>
      <c r="U93" s="327"/>
      <c r="V93" s="327"/>
      <c r="W93" s="327"/>
      <c r="X93" s="328"/>
    </row>
    <row r="94" spans="1:24" x14ac:dyDescent="0.2">
      <c r="A94" s="78" t="s">
        <v>86</v>
      </c>
      <c r="B94" s="79" t="s">
        <v>86</v>
      </c>
      <c r="C94" s="190">
        <f t="shared" si="42"/>
        <v>19295.2</v>
      </c>
      <c r="D94" s="77">
        <v>19424.080000000002</v>
      </c>
      <c r="E94" s="44">
        <v>19474.28</v>
      </c>
      <c r="F94" s="109">
        <v>19474.28</v>
      </c>
      <c r="G94" s="155">
        <f>$G$88+(472.73-1300)*(($G$98-$G$88)/(0-1300))</f>
        <v>5780.3873013846151</v>
      </c>
      <c r="H94" s="187">
        <f>$H$88+(472.73-1300)*(($H$98-$H$88)/(0-1300))</f>
        <v>5780.3363924615378</v>
      </c>
      <c r="I94" s="195">
        <f t="shared" si="43"/>
        <v>5780.8420000000006</v>
      </c>
      <c r="J94" s="82">
        <v>5777.77</v>
      </c>
      <c r="K94" s="69">
        <v>5774.81</v>
      </c>
      <c r="L94" s="75">
        <f t="shared" si="38"/>
        <v>-5.0908923077258805E-2</v>
      </c>
      <c r="M94" s="72">
        <f t="shared" si="39"/>
        <v>0.45469861538549594</v>
      </c>
      <c r="N94" s="72">
        <f t="shared" si="40"/>
        <v>-6.0320000000001528</v>
      </c>
      <c r="O94" s="72">
        <f t="shared" si="36"/>
        <v>-2.9600000000000364</v>
      </c>
      <c r="P94" s="73">
        <f t="shared" si="41"/>
        <v>-5.5773013846146569</v>
      </c>
      <c r="Q94" s="326"/>
      <c r="R94" s="327"/>
      <c r="S94" s="327"/>
      <c r="T94" s="327"/>
      <c r="U94" s="327"/>
      <c r="V94" s="327"/>
      <c r="W94" s="327"/>
      <c r="X94" s="328"/>
    </row>
    <row r="95" spans="1:24" x14ac:dyDescent="0.2">
      <c r="A95" s="78" t="s">
        <v>86</v>
      </c>
      <c r="B95" s="79" t="s">
        <v>86</v>
      </c>
      <c r="C95" s="190">
        <f t="shared" si="42"/>
        <v>19165.2</v>
      </c>
      <c r="D95" s="77">
        <v>19390.48</v>
      </c>
      <c r="E95" s="44">
        <v>19441.580000000002</v>
      </c>
      <c r="F95" s="109">
        <v>19441.579999999998</v>
      </c>
      <c r="G95" s="155">
        <f>$G$88+(354.55-1300)*(($G$98-$G$88)/(0-1300))</f>
        <v>5779.1455023076924</v>
      </c>
      <c r="H95" s="187">
        <f>$H$88+(354.55-1300)*(($H$98-$H$88)/(0-1300))</f>
        <v>5779.0873207692302</v>
      </c>
      <c r="I95" s="195">
        <f t="shared" si="43"/>
        <v>5779.4690000000001</v>
      </c>
      <c r="J95" s="82">
        <v>5777.33</v>
      </c>
      <c r="K95" s="69">
        <v>5773.31</v>
      </c>
      <c r="L95" s="75">
        <f t="shared" si="38"/>
        <v>-5.8181538462122262E-2</v>
      </c>
      <c r="M95" s="72">
        <f t="shared" si="39"/>
        <v>0.32349769230768288</v>
      </c>
      <c r="N95" s="72">
        <f t="shared" si="40"/>
        <v>-6.1589999999996508</v>
      </c>
      <c r="O95" s="72">
        <f t="shared" si="36"/>
        <v>-4.0199999999995271</v>
      </c>
      <c r="P95" s="73">
        <f t="shared" si="41"/>
        <v>-5.8355023076919679</v>
      </c>
      <c r="Q95" s="326"/>
      <c r="R95" s="327"/>
      <c r="S95" s="327"/>
      <c r="T95" s="327"/>
      <c r="U95" s="327"/>
      <c r="V95" s="327"/>
      <c r="W95" s="327"/>
      <c r="X95" s="328"/>
    </row>
    <row r="96" spans="1:24" x14ac:dyDescent="0.2">
      <c r="A96" s="78" t="s">
        <v>86</v>
      </c>
      <c r="B96" s="79" t="s">
        <v>86</v>
      </c>
      <c r="C96" s="190">
        <f t="shared" si="42"/>
        <v>19035.2</v>
      </c>
      <c r="D96" s="77">
        <v>19127.18</v>
      </c>
      <c r="E96" s="44">
        <v>19190.28</v>
      </c>
      <c r="F96" s="109">
        <v>19190.28</v>
      </c>
      <c r="G96" s="155">
        <f>$G$88+(236.364-1300)*(($G$98-$G$88)/(0-1300))</f>
        <v>5777.9036401846151</v>
      </c>
      <c r="H96" s="187">
        <f>$H$88+(236.364-1300)*(($H$98-$H$88)/(0-1300))</f>
        <v>5777.8381856615379</v>
      </c>
      <c r="I96" s="195">
        <f t="shared" si="43"/>
        <v>5778.0960000000005</v>
      </c>
      <c r="J96" s="82">
        <v>5775.72</v>
      </c>
      <c r="K96" s="69">
        <v>5772.61</v>
      </c>
      <c r="L96" s="75">
        <f t="shared" si="38"/>
        <v>-6.5454523077278282E-2</v>
      </c>
      <c r="M96" s="72">
        <f t="shared" si="39"/>
        <v>0.19235981538531632</v>
      </c>
      <c r="N96" s="72">
        <f t="shared" si="40"/>
        <v>-5.4860000000007858</v>
      </c>
      <c r="O96" s="72">
        <f t="shared" si="36"/>
        <v>-3.1100000000005821</v>
      </c>
      <c r="P96" s="73">
        <f t="shared" si="41"/>
        <v>-5.2936401846154695</v>
      </c>
      <c r="Q96" s="326"/>
      <c r="R96" s="327"/>
      <c r="S96" s="327"/>
      <c r="T96" s="327"/>
      <c r="U96" s="327"/>
      <c r="V96" s="327"/>
      <c r="W96" s="327"/>
      <c r="X96" s="328"/>
    </row>
    <row r="97" spans="1:24" x14ac:dyDescent="0.2">
      <c r="A97" s="78" t="s">
        <v>86</v>
      </c>
      <c r="B97" s="79" t="s">
        <v>86</v>
      </c>
      <c r="C97" s="190">
        <f t="shared" si="42"/>
        <v>18905.2</v>
      </c>
      <c r="D97" s="77">
        <v>18825.68</v>
      </c>
      <c r="E97" s="44">
        <v>18893.98</v>
      </c>
      <c r="F97" s="109">
        <v>18893.98</v>
      </c>
      <c r="G97" s="155">
        <f>$G$88+(118.182-1300)*(($G$98-$G$88)/(0-1300))</f>
        <v>5776.6618200923076</v>
      </c>
      <c r="H97" s="187">
        <f>$H$88+(118.182-1300)*(($H$98-$H$88)/(0-1300))</f>
        <v>5776.5890928307681</v>
      </c>
      <c r="I97" s="195">
        <f t="shared" si="43"/>
        <v>5776.723</v>
      </c>
      <c r="J97" s="82">
        <v>5774.73</v>
      </c>
      <c r="K97" s="69">
        <v>5770.63</v>
      </c>
      <c r="L97" s="75">
        <f t="shared" si="38"/>
        <v>-7.2727261539512256E-2</v>
      </c>
      <c r="M97" s="72">
        <f t="shared" si="39"/>
        <v>6.1179907692348934E-2</v>
      </c>
      <c r="N97" s="72">
        <f t="shared" si="40"/>
        <v>-6.0929999999998472</v>
      </c>
      <c r="O97" s="72">
        <f t="shared" si="36"/>
        <v>-4.0999999999994543</v>
      </c>
      <c r="P97" s="73">
        <f t="shared" si="41"/>
        <v>-6.0318200923074983</v>
      </c>
      <c r="Q97" s="326"/>
      <c r="R97" s="327"/>
      <c r="S97" s="327"/>
      <c r="T97" s="327"/>
      <c r="U97" s="327"/>
      <c r="V97" s="327"/>
      <c r="W97" s="327"/>
      <c r="X97" s="328"/>
    </row>
    <row r="98" spans="1:24" x14ac:dyDescent="0.2">
      <c r="A98" s="86" t="s">
        <v>107</v>
      </c>
      <c r="B98" s="79">
        <v>18775.2</v>
      </c>
      <c r="C98" s="79">
        <v>18775.2</v>
      </c>
      <c r="D98" s="77">
        <v>18793.38</v>
      </c>
      <c r="E98" s="44">
        <v>18861.580000000002</v>
      </c>
      <c r="F98" s="109">
        <v>18861.579999999998</v>
      </c>
      <c r="G98" s="126">
        <v>5775.42</v>
      </c>
      <c r="H98" s="182">
        <v>5775.3399999999992</v>
      </c>
      <c r="I98" s="68">
        <v>5775.35</v>
      </c>
      <c r="J98" s="82">
        <v>5774.39</v>
      </c>
      <c r="K98" s="69">
        <v>5768.8</v>
      </c>
      <c r="L98" s="75">
        <f t="shared" si="9"/>
        <v>-8.0000000000836735E-2</v>
      </c>
      <c r="M98" s="72">
        <f t="shared" si="10"/>
        <v>-6.9999999999708962E-2</v>
      </c>
      <c r="N98" s="72">
        <f t="shared" si="11"/>
        <v>-6.5500000000001819</v>
      </c>
      <c r="O98" s="72">
        <f t="shared" si="36"/>
        <v>-5.5900000000001455</v>
      </c>
      <c r="P98" s="73">
        <f t="shared" si="37"/>
        <v>-6.6199999999998909</v>
      </c>
      <c r="Q98" s="326"/>
      <c r="R98" s="327"/>
      <c r="S98" s="327"/>
      <c r="T98" s="327"/>
      <c r="U98" s="327"/>
      <c r="V98" s="327"/>
      <c r="W98" s="327"/>
      <c r="X98" s="328"/>
    </row>
    <row r="99" spans="1:24" x14ac:dyDescent="0.2">
      <c r="A99" s="78" t="s">
        <v>86</v>
      </c>
      <c r="B99" s="79" t="s">
        <v>86</v>
      </c>
      <c r="C99" s="190">
        <f>C98-(1380/8)</f>
        <v>18602.7</v>
      </c>
      <c r="D99" s="77">
        <v>18670.38</v>
      </c>
      <c r="E99" s="44">
        <v>18733.28</v>
      </c>
      <c r="F99" s="109">
        <v>18733.28</v>
      </c>
      <c r="G99" s="186">
        <f>$G$98+(1207.5-1380)*(($G$106-$G$98)/(0-1380))</f>
        <v>5773.9425000000001</v>
      </c>
      <c r="H99" s="187">
        <f>$H$98+(1207.5-1380)*(($H$106-$H$98)/(0-1380))</f>
        <v>5773.8249999999989</v>
      </c>
      <c r="I99" s="195">
        <f>$I$98+(C99-$C$98)*(($I$106-$I$98)/($C$106-$C$98))</f>
        <v>5773.835</v>
      </c>
      <c r="J99" s="82">
        <v>5772.21</v>
      </c>
      <c r="K99" s="69">
        <v>5767.86</v>
      </c>
      <c r="L99" s="75">
        <f>H99-G99</f>
        <v>-0.11750000000120053</v>
      </c>
      <c r="M99" s="72">
        <f>I99-G99</f>
        <v>-0.10750000000007276</v>
      </c>
      <c r="N99" s="72">
        <f>K99-I99</f>
        <v>-5.9750000000003638</v>
      </c>
      <c r="O99" s="72">
        <f t="shared" si="36"/>
        <v>-4.3500000000003638</v>
      </c>
      <c r="P99" s="73">
        <f>K99-G99</f>
        <v>-6.0825000000004366</v>
      </c>
      <c r="Q99" s="326"/>
      <c r="R99" s="327"/>
      <c r="S99" s="327"/>
      <c r="T99" s="327"/>
      <c r="U99" s="327"/>
      <c r="V99" s="327"/>
      <c r="W99" s="327"/>
      <c r="X99" s="328"/>
    </row>
    <row r="100" spans="1:24" x14ac:dyDescent="0.2">
      <c r="A100" s="78" t="s">
        <v>86</v>
      </c>
      <c r="B100" s="79" t="s">
        <v>86</v>
      </c>
      <c r="C100" s="190">
        <f t="shared" ref="C100:C105" si="44">C99-(1380/8)</f>
        <v>18430.2</v>
      </c>
      <c r="D100" s="77">
        <v>18576.38</v>
      </c>
      <c r="E100" s="44">
        <v>18644.88</v>
      </c>
      <c r="F100" s="109">
        <v>18644.879999999997</v>
      </c>
      <c r="G100" s="155">
        <f>$G$98+(1035-1380)*(($G$106-$G$98)/(0-1380))</f>
        <v>5772.4650000000001</v>
      </c>
      <c r="H100" s="187">
        <f>$H$98+(1035-1380)*(($H$106-$H$98)/(0-1380))</f>
        <v>5772.3099999999995</v>
      </c>
      <c r="I100" s="195">
        <f t="shared" ref="I100:I105" si="45">$I$98+(C100-$C$98)*(($I$106-$I$98)/($C$106-$C$98))</f>
        <v>5772.3200000000006</v>
      </c>
      <c r="J100" s="82">
        <v>5771.94</v>
      </c>
      <c r="K100" s="69">
        <v>5766.75</v>
      </c>
      <c r="L100" s="75">
        <f t="shared" ref="L100:L105" si="46">H100-G100</f>
        <v>-0.15500000000065484</v>
      </c>
      <c r="M100" s="72">
        <f t="shared" ref="M100:M105" si="47">I100-G100</f>
        <v>-0.14499999999952706</v>
      </c>
      <c r="N100" s="72">
        <f t="shared" ref="N100:N105" si="48">K100-I100</f>
        <v>-5.5700000000006185</v>
      </c>
      <c r="O100" s="72">
        <f t="shared" si="36"/>
        <v>-5.1899999999995998</v>
      </c>
      <c r="P100" s="73">
        <f t="shared" ref="P100:P105" si="49">K100-G100</f>
        <v>-5.7150000000001455</v>
      </c>
      <c r="Q100" s="326"/>
      <c r="R100" s="327"/>
      <c r="S100" s="327"/>
      <c r="T100" s="327"/>
      <c r="U100" s="327"/>
      <c r="V100" s="327"/>
      <c r="W100" s="327"/>
      <c r="X100" s="328"/>
    </row>
    <row r="101" spans="1:24" x14ac:dyDescent="0.2">
      <c r="A101" s="78" t="s">
        <v>86</v>
      </c>
      <c r="B101" s="79" t="s">
        <v>86</v>
      </c>
      <c r="C101" s="190">
        <f t="shared" si="44"/>
        <v>18257.7</v>
      </c>
      <c r="D101" s="77">
        <v>18533.48</v>
      </c>
      <c r="E101" s="44">
        <v>18603.78</v>
      </c>
      <c r="F101" s="109">
        <v>18603.78</v>
      </c>
      <c r="G101" s="155">
        <f>$G$98+(862.5-1380)*(($G$106-$G$98)/(0-1380))</f>
        <v>5770.9875000000002</v>
      </c>
      <c r="H101" s="187">
        <f>$H$98+(862.5-1380)*(($H$106-$H$98)/(0-1380))</f>
        <v>5770.7949999999992</v>
      </c>
      <c r="I101" s="195">
        <f t="shared" si="45"/>
        <v>5770.8050000000003</v>
      </c>
      <c r="J101" s="82">
        <v>5771.59</v>
      </c>
      <c r="K101" s="69">
        <v>5764.08</v>
      </c>
      <c r="L101" s="75">
        <f t="shared" si="46"/>
        <v>-0.19250000000101863</v>
      </c>
      <c r="M101" s="72">
        <f t="shared" si="47"/>
        <v>-0.18249999999989086</v>
      </c>
      <c r="N101" s="72">
        <f t="shared" si="48"/>
        <v>-6.7250000000003638</v>
      </c>
      <c r="O101" s="72">
        <f t="shared" si="36"/>
        <v>-7.5100000000002183</v>
      </c>
      <c r="P101" s="73">
        <f t="shared" si="49"/>
        <v>-6.9075000000002547</v>
      </c>
      <c r="Q101" s="326"/>
      <c r="R101" s="327"/>
      <c r="S101" s="327"/>
      <c r="T101" s="327"/>
      <c r="U101" s="327"/>
      <c r="V101" s="327"/>
      <c r="W101" s="327"/>
      <c r="X101" s="328"/>
    </row>
    <row r="102" spans="1:24" x14ac:dyDescent="0.2">
      <c r="A102" s="78" t="s">
        <v>86</v>
      </c>
      <c r="B102" s="79" t="s">
        <v>86</v>
      </c>
      <c r="C102" s="190">
        <f t="shared" si="44"/>
        <v>18085.2</v>
      </c>
      <c r="D102" s="77">
        <v>18248.68</v>
      </c>
      <c r="E102" s="44">
        <v>18296.68</v>
      </c>
      <c r="F102" s="109">
        <v>18296.68</v>
      </c>
      <c r="G102" s="155">
        <f>$G$98+(690-1380)*(($G$106-$G$98)/(0-1380))</f>
        <v>5769.51</v>
      </c>
      <c r="H102" s="187">
        <f>$H$98+(690-1380)*(($H$106-$H$98)/(0-1380))</f>
        <v>5769.28</v>
      </c>
      <c r="I102" s="195">
        <f t="shared" si="45"/>
        <v>5769.29</v>
      </c>
      <c r="J102" s="82">
        <v>5768.91</v>
      </c>
      <c r="K102" s="69">
        <v>5762.68</v>
      </c>
      <c r="L102" s="75">
        <f t="shared" si="46"/>
        <v>-0.23000000000047294</v>
      </c>
      <c r="M102" s="72">
        <f t="shared" si="47"/>
        <v>-0.22000000000025466</v>
      </c>
      <c r="N102" s="72">
        <f t="shared" si="48"/>
        <v>-6.6099999999996726</v>
      </c>
      <c r="O102" s="72">
        <f t="shared" si="36"/>
        <v>-6.2299999999995634</v>
      </c>
      <c r="P102" s="73">
        <f t="shared" si="49"/>
        <v>-6.8299999999999272</v>
      </c>
      <c r="Q102" s="326"/>
      <c r="R102" s="327"/>
      <c r="S102" s="327"/>
      <c r="T102" s="327"/>
      <c r="U102" s="327"/>
      <c r="V102" s="327"/>
      <c r="W102" s="327"/>
      <c r="X102" s="328"/>
    </row>
    <row r="103" spans="1:24" x14ac:dyDescent="0.2">
      <c r="A103" s="78" t="s">
        <v>86</v>
      </c>
      <c r="B103" s="79" t="s">
        <v>86</v>
      </c>
      <c r="C103" s="190">
        <f t="shared" si="44"/>
        <v>17912.7</v>
      </c>
      <c r="D103" s="77">
        <v>17882.580000000002</v>
      </c>
      <c r="E103" s="44">
        <v>17967.28</v>
      </c>
      <c r="F103" s="109">
        <v>17967.28</v>
      </c>
      <c r="G103" s="155">
        <f>$G$98+(517.5-1380)*(($G$106-$G$98)/(0-1380))</f>
        <v>5768.0324999999993</v>
      </c>
      <c r="H103" s="187">
        <f>$H$98+(517.5-1380)*(($H$106-$H$98)/(0-1380))</f>
        <v>5767.7649999999994</v>
      </c>
      <c r="I103" s="195">
        <f t="shared" si="45"/>
        <v>5767.7749999999996</v>
      </c>
      <c r="J103" s="82">
        <v>5766.06</v>
      </c>
      <c r="K103" s="69">
        <v>5760.63</v>
      </c>
      <c r="L103" s="75">
        <f t="shared" si="46"/>
        <v>-0.26749999999992724</v>
      </c>
      <c r="M103" s="72">
        <f t="shared" si="47"/>
        <v>-0.25749999999970896</v>
      </c>
      <c r="N103" s="72">
        <f t="shared" si="48"/>
        <v>-7.1449999999995271</v>
      </c>
      <c r="O103" s="72">
        <f t="shared" si="36"/>
        <v>-5.430000000000291</v>
      </c>
      <c r="P103" s="73">
        <f t="shared" si="49"/>
        <v>-7.402499999999236</v>
      </c>
      <c r="Q103" s="326"/>
      <c r="R103" s="327"/>
      <c r="S103" s="327"/>
      <c r="T103" s="327"/>
      <c r="U103" s="327"/>
      <c r="V103" s="327"/>
      <c r="W103" s="327"/>
      <c r="X103" s="328"/>
    </row>
    <row r="104" spans="1:24" x14ac:dyDescent="0.2">
      <c r="A104" s="78" t="s">
        <v>86</v>
      </c>
      <c r="B104" s="79" t="s">
        <v>86</v>
      </c>
      <c r="C104" s="190">
        <f t="shared" si="44"/>
        <v>17740.2</v>
      </c>
      <c r="D104" s="77">
        <v>17829.28</v>
      </c>
      <c r="E104" s="44">
        <v>17924.18</v>
      </c>
      <c r="F104" s="109">
        <v>17924.18</v>
      </c>
      <c r="G104" s="155">
        <f>$G$98+(345-1380)*(($G$106-$G$98)/(0-1380))</f>
        <v>5766.5549999999994</v>
      </c>
      <c r="H104" s="187">
        <f>$H$98+(345-1380)*(($H$106-$H$98)/(0-1380))</f>
        <v>5766.2499999999991</v>
      </c>
      <c r="I104" s="195">
        <f t="shared" si="45"/>
        <v>5766.26</v>
      </c>
      <c r="J104" s="82">
        <v>5765.9</v>
      </c>
      <c r="K104" s="69">
        <v>5758.03</v>
      </c>
      <c r="L104" s="75">
        <f t="shared" si="46"/>
        <v>-0.30500000000029104</v>
      </c>
      <c r="M104" s="72">
        <f t="shared" si="47"/>
        <v>-0.29499999999916326</v>
      </c>
      <c r="N104" s="72">
        <f t="shared" si="48"/>
        <v>-8.2300000000004729</v>
      </c>
      <c r="O104" s="72">
        <f t="shared" si="36"/>
        <v>-7.8699999999998909</v>
      </c>
      <c r="P104" s="73">
        <f t="shared" si="49"/>
        <v>-8.5249999999996362</v>
      </c>
      <c r="Q104" s="326"/>
      <c r="R104" s="327"/>
      <c r="S104" s="327"/>
      <c r="T104" s="327"/>
      <c r="U104" s="327"/>
      <c r="V104" s="327"/>
      <c r="W104" s="327"/>
      <c r="X104" s="328"/>
    </row>
    <row r="105" spans="1:24" x14ac:dyDescent="0.2">
      <c r="A105" s="78" t="s">
        <v>86</v>
      </c>
      <c r="B105" s="79" t="s">
        <v>86</v>
      </c>
      <c r="C105" s="190">
        <f t="shared" si="44"/>
        <v>17567.7</v>
      </c>
      <c r="D105" s="77">
        <v>17546.18</v>
      </c>
      <c r="E105" s="44">
        <v>17652.080000000002</v>
      </c>
      <c r="F105" s="109">
        <v>17652.080000000002</v>
      </c>
      <c r="G105" s="155">
        <f>$G$98+(172.5-1380)*(($G$106-$G$98)/(0-1380))</f>
        <v>5765.0774999999994</v>
      </c>
      <c r="H105" s="187">
        <f>$H$98+(172.5-1380)*(($H$106-$H$98)/(0-1380))</f>
        <v>5764.7349999999997</v>
      </c>
      <c r="I105" s="195">
        <f t="shared" si="45"/>
        <v>5764.7449999999999</v>
      </c>
      <c r="J105" s="82">
        <v>5763.06</v>
      </c>
      <c r="K105" s="69">
        <v>5757.03</v>
      </c>
      <c r="L105" s="75">
        <f t="shared" si="46"/>
        <v>-0.34249999999974534</v>
      </c>
      <c r="M105" s="72">
        <f t="shared" si="47"/>
        <v>-0.33249999999952706</v>
      </c>
      <c r="N105" s="72">
        <f t="shared" si="48"/>
        <v>-7.7150000000001455</v>
      </c>
      <c r="O105" s="72">
        <f t="shared" si="36"/>
        <v>-6.0300000000006548</v>
      </c>
      <c r="P105" s="73">
        <f t="shared" si="49"/>
        <v>-8.0474999999996726</v>
      </c>
      <c r="Q105" s="326"/>
      <c r="R105" s="327"/>
      <c r="S105" s="327"/>
      <c r="T105" s="327"/>
      <c r="U105" s="327"/>
      <c r="V105" s="327"/>
      <c r="W105" s="327"/>
      <c r="X105" s="328"/>
    </row>
    <row r="106" spans="1:24" x14ac:dyDescent="0.2">
      <c r="A106" s="63" t="s">
        <v>101</v>
      </c>
      <c r="B106" s="79">
        <v>17395.2</v>
      </c>
      <c r="C106" s="79">
        <v>17395.2</v>
      </c>
      <c r="D106" s="77">
        <v>17321.88</v>
      </c>
      <c r="E106" s="44">
        <v>17408.18</v>
      </c>
      <c r="F106" s="109">
        <v>17408.18</v>
      </c>
      <c r="G106" s="126">
        <v>5763.5999999999995</v>
      </c>
      <c r="H106" s="182">
        <v>5763.2199999999993</v>
      </c>
      <c r="I106" s="68">
        <v>5763.23</v>
      </c>
      <c r="J106" s="82">
        <v>5760.94</v>
      </c>
      <c r="K106" s="69">
        <v>5756.26</v>
      </c>
      <c r="L106" s="75">
        <f t="shared" ref="L106:L146" si="50">H106-G106</f>
        <v>-0.38000000000010914</v>
      </c>
      <c r="M106" s="72">
        <f t="shared" si="10"/>
        <v>-0.36999999999989086</v>
      </c>
      <c r="N106" s="72">
        <f t="shared" si="11"/>
        <v>-6.9699999999993452</v>
      </c>
      <c r="O106" s="72">
        <f t="shared" si="36"/>
        <v>-4.6799999999993815</v>
      </c>
      <c r="P106" s="73">
        <f t="shared" si="37"/>
        <v>-7.339999999999236</v>
      </c>
      <c r="Q106" s="326"/>
      <c r="R106" s="327"/>
      <c r="S106" s="327"/>
      <c r="T106" s="327"/>
      <c r="U106" s="327"/>
      <c r="V106" s="327"/>
      <c r="W106" s="327"/>
      <c r="X106" s="328"/>
    </row>
    <row r="107" spans="1:24" x14ac:dyDescent="0.2">
      <c r="A107" s="78" t="s">
        <v>86</v>
      </c>
      <c r="B107" s="79" t="s">
        <v>86</v>
      </c>
      <c r="C107" s="191">
        <f>C106-(1880/37)</f>
        <v>17344.389189189191</v>
      </c>
      <c r="D107" s="77">
        <v>16989.18</v>
      </c>
      <c r="E107" s="44">
        <v>17066.48</v>
      </c>
      <c r="F107" s="109">
        <v>17066.48</v>
      </c>
      <c r="G107" s="186">
        <f>$G$106+(1829.19-1880)*(($G$143-$G$106)/(0-1880))</f>
        <v>5763.0721705851056</v>
      </c>
      <c r="H107" s="187">
        <f>$H$106+(1829.19-1880)*(($H$143-$H$106)/(0-1880))</f>
        <v>5762.7024406914888</v>
      </c>
      <c r="I107" s="195">
        <f>$I$106+(C107-$C$106)*(($I$143-$I$106)/($C$143-$C$106))</f>
        <v>5762.7121621621618</v>
      </c>
      <c r="J107" s="82">
        <v>5758.83</v>
      </c>
      <c r="K107" s="69">
        <v>5754</v>
      </c>
      <c r="L107" s="99">
        <f>H107-G107</f>
        <v>-0.36972989361674991</v>
      </c>
      <c r="M107" s="72">
        <f>I107-G107</f>
        <v>-0.36000842294379254</v>
      </c>
      <c r="N107" s="72">
        <f>K107-I107</f>
        <v>-8.7121621621618033</v>
      </c>
      <c r="O107" s="72">
        <f t="shared" si="36"/>
        <v>-4.8299999999999272</v>
      </c>
      <c r="P107" s="204">
        <f>K107-G107</f>
        <v>-9.0721705851055958</v>
      </c>
      <c r="Q107" s="326"/>
      <c r="R107" s="327"/>
      <c r="S107" s="327"/>
      <c r="T107" s="327"/>
      <c r="U107" s="327"/>
      <c r="V107" s="327"/>
      <c r="W107" s="327"/>
      <c r="X107" s="328"/>
    </row>
    <row r="108" spans="1:24" x14ac:dyDescent="0.2">
      <c r="A108" s="78" t="s">
        <v>86</v>
      </c>
      <c r="B108" s="79" t="s">
        <v>86</v>
      </c>
      <c r="C108" s="191">
        <f t="shared" ref="C108:C142" si="51">C107-(1880/37)</f>
        <v>17293.578378378381</v>
      </c>
      <c r="D108" s="77">
        <v>16951.88</v>
      </c>
      <c r="E108" s="44">
        <v>17028.48</v>
      </c>
      <c r="F108" s="109">
        <v>17028.48</v>
      </c>
      <c r="G108" s="155">
        <f>$G$106+(1778.38-1880)*(($G$143-$G$106)/(0-1880))</f>
        <v>5762.5443411702126</v>
      </c>
      <c r="H108" s="187">
        <f>$H$106+(1778.38-1880)*(($H$143-$H$106)/(0-1880))</f>
        <v>5762.1848813829783</v>
      </c>
      <c r="I108" s="195">
        <f t="shared" ref="I108:I142" si="52">$I$106+(C108-$C$106)*(($I$143-$I$106)/($C$143-$C$106))</f>
        <v>5762.194324324324</v>
      </c>
      <c r="J108" s="82">
        <v>5757.99</v>
      </c>
      <c r="K108" s="69">
        <v>5751.57</v>
      </c>
      <c r="L108" s="99">
        <f t="shared" ref="L108:L142" si="53">H108-G108</f>
        <v>-0.35945978723430017</v>
      </c>
      <c r="M108" s="72">
        <f t="shared" ref="M108:M142" si="54">I108-G108</f>
        <v>-0.35001684588860371</v>
      </c>
      <c r="N108" s="72">
        <f t="shared" ref="N108:N142" si="55">K108-I108</f>
        <v>-10.624324324324334</v>
      </c>
      <c r="O108" s="72">
        <f t="shared" si="36"/>
        <v>-6.4200000000000728</v>
      </c>
      <c r="P108" s="204">
        <f t="shared" ref="P108:P142" si="56">K108-G108</f>
        <v>-10.974341170212938</v>
      </c>
      <c r="Q108" s="326"/>
      <c r="R108" s="327"/>
      <c r="S108" s="327"/>
      <c r="T108" s="327"/>
      <c r="U108" s="327"/>
      <c r="V108" s="327"/>
      <c r="W108" s="327"/>
      <c r="X108" s="328"/>
    </row>
    <row r="109" spans="1:24" x14ac:dyDescent="0.2">
      <c r="A109" s="78" t="s">
        <v>86</v>
      </c>
      <c r="B109" s="79" t="s">
        <v>86</v>
      </c>
      <c r="C109" s="191">
        <f t="shared" si="51"/>
        <v>17242.767567567571</v>
      </c>
      <c r="D109" s="77">
        <v>16614.98</v>
      </c>
      <c r="E109" s="44">
        <v>16688.080000000002</v>
      </c>
      <c r="F109" s="109">
        <v>16688.079999999998</v>
      </c>
      <c r="G109" s="155">
        <f>$G$106+(1727.57-1880)*(($G$143-$G$106)/(0-1880))</f>
        <v>5762.0165117553188</v>
      </c>
      <c r="H109" s="187">
        <f>$H$106+(1727.57-1880)*(($H$143-$H$106)/(0-1880))</f>
        <v>5761.6673220744678</v>
      </c>
      <c r="I109" s="195">
        <f t="shared" si="52"/>
        <v>5761.6764864864863</v>
      </c>
      <c r="J109" s="82">
        <v>5755.08</v>
      </c>
      <c r="K109" s="69">
        <v>5750.19</v>
      </c>
      <c r="L109" s="99">
        <f t="shared" si="53"/>
        <v>-0.34918968085094093</v>
      </c>
      <c r="M109" s="72">
        <f t="shared" si="54"/>
        <v>-0.34002526883250539</v>
      </c>
      <c r="N109" s="72">
        <f t="shared" si="55"/>
        <v>-11.486486486486683</v>
      </c>
      <c r="O109" s="72">
        <f t="shared" si="36"/>
        <v>-4.8900000000003274</v>
      </c>
      <c r="P109" s="204">
        <f t="shared" si="56"/>
        <v>-11.826511755319189</v>
      </c>
      <c r="Q109" s="326"/>
      <c r="R109" s="327"/>
      <c r="S109" s="327"/>
      <c r="T109" s="327"/>
      <c r="U109" s="327"/>
      <c r="V109" s="327"/>
      <c r="W109" s="327"/>
      <c r="X109" s="328"/>
    </row>
    <row r="110" spans="1:24" x14ac:dyDescent="0.2">
      <c r="A110" s="78" t="s">
        <v>86</v>
      </c>
      <c r="B110" s="79" t="s">
        <v>86</v>
      </c>
      <c r="C110" s="191">
        <f t="shared" si="51"/>
        <v>17191.956756756761</v>
      </c>
      <c r="D110" s="77">
        <v>16356.58</v>
      </c>
      <c r="E110" s="44">
        <v>16440.580000000002</v>
      </c>
      <c r="F110" s="109">
        <v>16440.579999999998</v>
      </c>
      <c r="G110" s="155">
        <f>$G$106+(1676.76-1880)*(($G$143-$G$106)/(0-1880))</f>
        <v>5761.4886823404249</v>
      </c>
      <c r="H110" s="187">
        <f>$H$106+(1676.76-1880)*(($H$143-$H$106)/(0-1880))</f>
        <v>5761.1497627659564</v>
      </c>
      <c r="I110" s="195">
        <f t="shared" si="52"/>
        <v>5761.1586486486485</v>
      </c>
      <c r="J110" s="82">
        <v>5751.83</v>
      </c>
      <c r="K110" s="69">
        <v>5749.44</v>
      </c>
      <c r="L110" s="99">
        <f t="shared" si="53"/>
        <v>-0.33891957446849119</v>
      </c>
      <c r="M110" s="72">
        <f t="shared" si="54"/>
        <v>-0.33003369177640707</v>
      </c>
      <c r="N110" s="72">
        <f t="shared" si="55"/>
        <v>-11.718648648648923</v>
      </c>
      <c r="O110" s="72">
        <f t="shared" si="36"/>
        <v>-2.3900000000003274</v>
      </c>
      <c r="P110" s="204">
        <f t="shared" si="56"/>
        <v>-12.04868234042533</v>
      </c>
      <c r="Q110" s="326"/>
      <c r="R110" s="327"/>
      <c r="S110" s="327"/>
      <c r="T110" s="327"/>
      <c r="U110" s="327"/>
      <c r="V110" s="327"/>
      <c r="W110" s="327"/>
      <c r="X110" s="328"/>
    </row>
    <row r="111" spans="1:24" x14ac:dyDescent="0.2">
      <c r="A111" s="78" t="s">
        <v>86</v>
      </c>
      <c r="B111" s="79" t="s">
        <v>86</v>
      </c>
      <c r="C111" s="191">
        <f t="shared" si="51"/>
        <v>17141.145945945951</v>
      </c>
      <c r="D111" s="77">
        <v>16120.08</v>
      </c>
      <c r="E111" s="44">
        <v>16211.38</v>
      </c>
      <c r="F111" s="109">
        <v>16211.379999999997</v>
      </c>
      <c r="G111" s="155">
        <f>$G$106+(1625.95-1880)*(($G$143-$G$106)/(0-1880))</f>
        <v>5760.9608529255311</v>
      </c>
      <c r="H111" s="187">
        <f>$H$106+(1625.95-1880)*(($H$143-$H$106)/(0-1880))</f>
        <v>5760.6322034574459</v>
      </c>
      <c r="I111" s="195">
        <f t="shared" si="52"/>
        <v>5760.6408108108108</v>
      </c>
      <c r="J111" s="82">
        <v>5750.31</v>
      </c>
      <c r="K111" s="69">
        <v>5747.56</v>
      </c>
      <c r="L111" s="99">
        <f t="shared" si="53"/>
        <v>-0.32864946808513196</v>
      </c>
      <c r="M111" s="72">
        <f t="shared" si="54"/>
        <v>-0.32004211472030875</v>
      </c>
      <c r="N111" s="72">
        <f t="shared" si="55"/>
        <v>-13.080810810810362</v>
      </c>
      <c r="O111" s="72">
        <f t="shared" si="36"/>
        <v>-2.75</v>
      </c>
      <c r="P111" s="204">
        <f t="shared" si="56"/>
        <v>-13.400852925530671</v>
      </c>
      <c r="Q111" s="326"/>
      <c r="R111" s="327"/>
      <c r="S111" s="327"/>
      <c r="T111" s="327"/>
      <c r="U111" s="327"/>
      <c r="V111" s="327"/>
      <c r="W111" s="327"/>
      <c r="X111" s="328"/>
    </row>
    <row r="112" spans="1:24" x14ac:dyDescent="0.2">
      <c r="A112" s="78" t="s">
        <v>86</v>
      </c>
      <c r="B112" s="79" t="s">
        <v>86</v>
      </c>
      <c r="C112" s="191">
        <f t="shared" si="51"/>
        <v>17090.335135135141</v>
      </c>
      <c r="D112" s="77">
        <v>16081.88</v>
      </c>
      <c r="E112" s="44">
        <v>16176.48</v>
      </c>
      <c r="F112" s="109">
        <v>16176.479999999998</v>
      </c>
      <c r="G112" s="155">
        <f>$G$106+(1575.14-1880)*(($G$143-$G$106)/(0-1880))</f>
        <v>5760.4330235106381</v>
      </c>
      <c r="H112" s="187">
        <f>$H$106+(1575.14-1880)*(($H$143-$H$106)/(0-1880))</f>
        <v>5760.1146441489354</v>
      </c>
      <c r="I112" s="195">
        <f t="shared" si="52"/>
        <v>5760.122972972973</v>
      </c>
      <c r="J112" s="82">
        <v>5749.31</v>
      </c>
      <c r="K112" s="69">
        <v>5745.84</v>
      </c>
      <c r="L112" s="99">
        <f t="shared" si="53"/>
        <v>-0.31837936170268222</v>
      </c>
      <c r="M112" s="72">
        <f t="shared" si="54"/>
        <v>-0.31005053766511992</v>
      </c>
      <c r="N112" s="72">
        <f t="shared" si="55"/>
        <v>-14.282972972972857</v>
      </c>
      <c r="O112" s="72">
        <f t="shared" si="36"/>
        <v>-3.4700000000002547</v>
      </c>
      <c r="P112" s="204">
        <f t="shared" si="56"/>
        <v>-14.593023510637977</v>
      </c>
      <c r="Q112" s="326"/>
      <c r="R112" s="327"/>
      <c r="S112" s="327"/>
      <c r="T112" s="327"/>
      <c r="U112" s="327"/>
      <c r="V112" s="327"/>
      <c r="W112" s="327"/>
      <c r="X112" s="328"/>
    </row>
    <row r="113" spans="1:24" x14ac:dyDescent="0.2">
      <c r="A113" s="78" t="s">
        <v>86</v>
      </c>
      <c r="B113" s="79" t="s">
        <v>86</v>
      </c>
      <c r="C113" s="191">
        <f t="shared" si="51"/>
        <v>17039.524324324331</v>
      </c>
      <c r="D113" s="77">
        <v>15807.98</v>
      </c>
      <c r="E113" s="44" t="s">
        <v>86</v>
      </c>
      <c r="F113" s="136"/>
      <c r="G113" s="155">
        <f>$G$106+(1524.3-1880)*(($G$143-$G$106)/(0-1880))</f>
        <v>5759.9048824468082</v>
      </c>
      <c r="H113" s="187">
        <f>$H$106+(1524.3-1880)*(($H$143-$H$106)/(0-1880))</f>
        <v>5759.5967792553183</v>
      </c>
      <c r="I113" s="195">
        <f t="shared" si="52"/>
        <v>5759.6051351351352</v>
      </c>
      <c r="J113" s="82">
        <v>5745.86</v>
      </c>
      <c r="K113" s="157">
        <f>$K$112+(16165.7-$F$112)*(($K$140-$K$112)/($F$140-$F$112))</f>
        <v>5745.7821372804165</v>
      </c>
      <c r="L113" s="99">
        <f t="shared" si="53"/>
        <v>-0.30810319148986309</v>
      </c>
      <c r="M113" s="72">
        <f t="shared" si="54"/>
        <v>-0.29974731167294522</v>
      </c>
      <c r="N113" s="72">
        <f t="shared" si="55"/>
        <v>-13.822997854718778</v>
      </c>
      <c r="O113" s="72">
        <f>K113-J113</f>
        <v>-7.7862719583208673E-2</v>
      </c>
      <c r="P113" s="204">
        <f t="shared" si="56"/>
        <v>-14.122745166391724</v>
      </c>
      <c r="Q113" s="326"/>
      <c r="R113" s="327"/>
      <c r="S113" s="327"/>
      <c r="T113" s="327"/>
      <c r="U113" s="327"/>
      <c r="V113" s="327"/>
      <c r="W113" s="327"/>
      <c r="X113" s="328"/>
    </row>
    <row r="114" spans="1:24" x14ac:dyDescent="0.2">
      <c r="A114" s="78" t="s">
        <v>86</v>
      </c>
      <c r="B114" s="79" t="s">
        <v>86</v>
      </c>
      <c r="C114" s="191">
        <f t="shared" si="51"/>
        <v>16988.713513513521</v>
      </c>
      <c r="D114" s="77">
        <v>15643.78</v>
      </c>
      <c r="E114" s="44" t="s">
        <v>86</v>
      </c>
      <c r="F114" s="136"/>
      <c r="G114" s="155">
        <f>$G$106+(1473.5-1880)*(($G$143-$G$106)/(0-1880))</f>
        <v>5759.377156914893</v>
      </c>
      <c r="H114" s="187">
        <f>$H$106+(1473.5-1880)*(($H$143-$H$106)/(0-1880))</f>
        <v>5759.07932180851</v>
      </c>
      <c r="I114" s="195">
        <f t="shared" si="52"/>
        <v>5759.0872972972966</v>
      </c>
      <c r="J114" s="82">
        <v>5743.83</v>
      </c>
      <c r="K114" s="157">
        <f>$K$112+(16155.54-$F$112)*(($K$140-$K$112)/($F$140-$F$112))</f>
        <v>5745.7276024723487</v>
      </c>
      <c r="L114" s="99">
        <f t="shared" si="53"/>
        <v>-0.29783510638299049</v>
      </c>
      <c r="M114" s="72">
        <f t="shared" si="54"/>
        <v>-0.28985961759644852</v>
      </c>
      <c r="N114" s="72">
        <f t="shared" si="55"/>
        <v>-13.359694824947837</v>
      </c>
      <c r="O114" s="72">
        <f t="shared" ref="O114:O139" si="57">K114-J114</f>
        <v>1.8976024723488081</v>
      </c>
      <c r="P114" s="204">
        <f t="shared" si="56"/>
        <v>-13.649554442544286</v>
      </c>
      <c r="Q114" s="326"/>
      <c r="R114" s="327"/>
      <c r="S114" s="327"/>
      <c r="T114" s="327"/>
      <c r="U114" s="327"/>
      <c r="V114" s="327"/>
      <c r="W114" s="327"/>
      <c r="X114" s="328"/>
    </row>
    <row r="115" spans="1:24" x14ac:dyDescent="0.2">
      <c r="A115" s="78" t="s">
        <v>86</v>
      </c>
      <c r="B115" s="79" t="s">
        <v>86</v>
      </c>
      <c r="C115" s="191">
        <f t="shared" si="51"/>
        <v>16937.902702702711</v>
      </c>
      <c r="D115" s="77">
        <v>15466.78</v>
      </c>
      <c r="E115" s="44" t="s">
        <v>86</v>
      </c>
      <c r="F115" s="136"/>
      <c r="G115" s="155">
        <f>$G$106+(1422.7-1880)*(($G$143-$G$106)/(0-1880))</f>
        <v>5758.8494313829779</v>
      </c>
      <c r="H115" s="187">
        <f>$H$106+(1422.7-1880)*(($H$143-$H$106)/(0-1880))</f>
        <v>5758.5618643617017</v>
      </c>
      <c r="I115" s="195">
        <f t="shared" si="52"/>
        <v>5758.5694594594588</v>
      </c>
      <c r="J115" s="82">
        <v>5743.36</v>
      </c>
      <c r="K115" s="157">
        <f>$K$112+(16145.31-$F$112)*(($K$140-$K$112)/($F$140-$F$112))</f>
        <v>5745.6726919323355</v>
      </c>
      <c r="L115" s="99">
        <f t="shared" si="53"/>
        <v>-0.28756702127611788</v>
      </c>
      <c r="M115" s="72">
        <f t="shared" si="54"/>
        <v>-0.27997192351904232</v>
      </c>
      <c r="N115" s="72">
        <f t="shared" si="55"/>
        <v>-12.896767527123302</v>
      </c>
      <c r="O115" s="72">
        <f t="shared" si="57"/>
        <v>2.3126919323358379</v>
      </c>
      <c r="P115" s="204">
        <f t="shared" si="56"/>
        <v>-13.176739450642344</v>
      </c>
      <c r="Q115" s="326"/>
      <c r="R115" s="327"/>
      <c r="S115" s="327"/>
      <c r="T115" s="327"/>
      <c r="U115" s="327"/>
      <c r="V115" s="327"/>
      <c r="W115" s="327"/>
      <c r="X115" s="328"/>
    </row>
    <row r="116" spans="1:24" x14ac:dyDescent="0.2">
      <c r="A116" s="78" t="s">
        <v>86</v>
      </c>
      <c r="B116" s="79" t="s">
        <v>86</v>
      </c>
      <c r="C116" s="191">
        <f t="shared" si="51"/>
        <v>16887.091891891901</v>
      </c>
      <c r="D116" s="77">
        <v>15441.28</v>
      </c>
      <c r="E116" s="44" t="s">
        <v>86</v>
      </c>
      <c r="F116" s="136"/>
      <c r="G116" s="155">
        <f>$G$106+(1371.9-1880)*(($G$143-$G$106)/(0-1880))</f>
        <v>5758.3217058510636</v>
      </c>
      <c r="H116" s="187">
        <f>$H$106+(1371.9-1880)*(($H$143-$H$106)/(0-1880))</f>
        <v>5758.0444069148934</v>
      </c>
      <c r="I116" s="195">
        <f t="shared" si="52"/>
        <v>5758.0516216216211</v>
      </c>
      <c r="J116" s="82">
        <v>5743.32</v>
      </c>
      <c r="K116" s="157">
        <f>$K$112+(16135.08-$F$112)*(($K$140-$K$112)/($F$140-$F$112))</f>
        <v>5745.6177813923232</v>
      </c>
      <c r="L116" s="99">
        <f t="shared" si="53"/>
        <v>-0.27729893617015478</v>
      </c>
      <c r="M116" s="72">
        <f t="shared" si="54"/>
        <v>-0.27008422944254562</v>
      </c>
      <c r="N116" s="72">
        <f t="shared" si="55"/>
        <v>-12.433840229297857</v>
      </c>
      <c r="O116" s="72">
        <f t="shared" si="57"/>
        <v>2.2977813923234862</v>
      </c>
      <c r="P116" s="204">
        <f t="shared" si="56"/>
        <v>-12.703924458740403</v>
      </c>
      <c r="Q116" s="326"/>
      <c r="R116" s="327"/>
      <c r="S116" s="327"/>
      <c r="T116" s="327"/>
      <c r="U116" s="327"/>
      <c r="V116" s="327"/>
      <c r="W116" s="327"/>
      <c r="X116" s="328"/>
    </row>
    <row r="117" spans="1:24" x14ac:dyDescent="0.2">
      <c r="A117" s="78" t="s">
        <v>86</v>
      </c>
      <c r="B117" s="79" t="s">
        <v>86</v>
      </c>
      <c r="C117" s="191">
        <f t="shared" si="51"/>
        <v>16836.281081081092</v>
      </c>
      <c r="D117" s="77">
        <v>9325.18</v>
      </c>
      <c r="E117" s="44" t="s">
        <v>86</v>
      </c>
      <c r="F117" s="136"/>
      <c r="G117" s="155">
        <f>$G$106+(1321.08-1880)*(($G$143-$G$106)/(0-1880))</f>
        <v>5757.793772553191</v>
      </c>
      <c r="H117" s="187">
        <f>$H$106+(1321.08-1880)*(($H$143-$H$106)/(0-1880))</f>
        <v>5757.5267457446807</v>
      </c>
      <c r="I117" s="195">
        <f t="shared" si="52"/>
        <v>5757.5337837837833</v>
      </c>
      <c r="J117" s="82" t="s">
        <v>86</v>
      </c>
      <c r="K117" s="157">
        <f>$K$112+(16124.85-$F$112)*(($K$140-$K$112)/($F$140-$F$112))</f>
        <v>5745.56287085231</v>
      </c>
      <c r="L117" s="99">
        <f t="shared" si="53"/>
        <v>-0.26702680851030891</v>
      </c>
      <c r="M117" s="72">
        <f t="shared" si="54"/>
        <v>-0.25998876940775517</v>
      </c>
      <c r="N117" s="72">
        <f t="shared" si="55"/>
        <v>-11.970912931473322</v>
      </c>
      <c r="O117" s="72" t="s">
        <v>86</v>
      </c>
      <c r="P117" s="204">
        <f t="shared" si="56"/>
        <v>-12.230901700881077</v>
      </c>
      <c r="Q117" s="326"/>
      <c r="R117" s="327"/>
      <c r="S117" s="327"/>
      <c r="T117" s="327"/>
      <c r="U117" s="327"/>
      <c r="V117" s="327"/>
      <c r="W117" s="327"/>
      <c r="X117" s="328"/>
    </row>
    <row r="118" spans="1:24" x14ac:dyDescent="0.2">
      <c r="A118" s="78" t="s">
        <v>86</v>
      </c>
      <c r="B118" s="79" t="s">
        <v>86</v>
      </c>
      <c r="C118" s="191">
        <f t="shared" si="51"/>
        <v>16785.470270270282</v>
      </c>
      <c r="D118" s="77">
        <v>9165.18</v>
      </c>
      <c r="E118" s="44" t="s">
        <v>86</v>
      </c>
      <c r="F118" s="136"/>
      <c r="G118" s="155">
        <f>$G$106+(1270.3-1880)*(($G$143-$G$106)/(0-1880))</f>
        <v>5757.2662547872333</v>
      </c>
      <c r="H118" s="187">
        <f>$H$106+(1270.3-1880)*(($H$143-$H$106)/(0-1880))</f>
        <v>5757.0094920212759</v>
      </c>
      <c r="I118" s="195">
        <f t="shared" si="52"/>
        <v>5757.0159459459455</v>
      </c>
      <c r="J118" s="82" t="s">
        <v>86</v>
      </c>
      <c r="K118" s="157">
        <f>$K$112+(16114.62-$F$112)*(($K$140-$K$112)/($F$140-$F$112))</f>
        <v>5745.5079603122967</v>
      </c>
      <c r="L118" s="99">
        <f t="shared" si="53"/>
        <v>-0.25676276595731906</v>
      </c>
      <c r="M118" s="72">
        <f t="shared" si="54"/>
        <v>-0.25030884128773323</v>
      </c>
      <c r="N118" s="72">
        <f t="shared" si="55"/>
        <v>-11.507985633648786</v>
      </c>
      <c r="O118" s="72" t="s">
        <v>86</v>
      </c>
      <c r="P118" s="204">
        <f t="shared" si="56"/>
        <v>-11.75829447493652</v>
      </c>
      <c r="Q118" s="326"/>
      <c r="R118" s="327"/>
      <c r="S118" s="327"/>
      <c r="T118" s="327"/>
      <c r="U118" s="327"/>
      <c r="V118" s="327"/>
      <c r="W118" s="327"/>
      <c r="X118" s="328"/>
    </row>
    <row r="119" spans="1:24" x14ac:dyDescent="0.2">
      <c r="A119" s="78" t="s">
        <v>86</v>
      </c>
      <c r="B119" s="79" t="s">
        <v>86</v>
      </c>
      <c r="C119" s="191">
        <f t="shared" si="51"/>
        <v>16734.659459459472</v>
      </c>
      <c r="D119" s="77">
        <v>8536.58</v>
      </c>
      <c r="E119" s="44" t="s">
        <v>86</v>
      </c>
      <c r="F119" s="67"/>
      <c r="G119" s="155">
        <f>$G$106+(1219.46-1880)*(($G$143-$G$106)/(0-1880))</f>
        <v>5756.7381137234042</v>
      </c>
      <c r="H119" s="187">
        <f>$H$106+(1219.46-1880)*(($H$143-$H$106)/(0-1880))</f>
        <v>5756.4916271276588</v>
      </c>
      <c r="I119" s="195">
        <f t="shared" si="52"/>
        <v>5756.4981081081078</v>
      </c>
      <c r="J119" s="82" t="s">
        <v>86</v>
      </c>
      <c r="K119" s="157">
        <f>$K$112+(16104.39-$F$112)*(($K$140-$K$112)/($F$140-$F$112))</f>
        <v>5745.4530497722835</v>
      </c>
      <c r="L119" s="99">
        <f t="shared" si="53"/>
        <v>-0.24648659574540943</v>
      </c>
      <c r="M119" s="72">
        <f t="shared" si="54"/>
        <v>-0.24000561529646802</v>
      </c>
      <c r="N119" s="72">
        <f t="shared" si="55"/>
        <v>-11.045058335824251</v>
      </c>
      <c r="O119" s="72" t="s">
        <v>86</v>
      </c>
      <c r="P119" s="204">
        <f t="shared" si="56"/>
        <v>-11.285063951120719</v>
      </c>
      <c r="Q119" s="326"/>
      <c r="R119" s="327"/>
      <c r="S119" s="327"/>
      <c r="T119" s="327"/>
      <c r="U119" s="327"/>
      <c r="V119" s="327"/>
      <c r="W119" s="327"/>
      <c r="X119" s="328"/>
    </row>
    <row r="120" spans="1:24" x14ac:dyDescent="0.2">
      <c r="A120" s="78" t="s">
        <v>86</v>
      </c>
      <c r="B120" s="79" t="s">
        <v>86</v>
      </c>
      <c r="C120" s="191">
        <f t="shared" si="51"/>
        <v>16683.848648648662</v>
      </c>
      <c r="D120" s="77">
        <v>8247.18</v>
      </c>
      <c r="E120" s="44" t="s">
        <v>86</v>
      </c>
      <c r="F120" s="67"/>
      <c r="G120" s="155">
        <f>$G$106+(1168.65-1880)*(($G$143-$G$106)/(0-1880))</f>
        <v>5756.2102843085104</v>
      </c>
      <c r="H120" s="187">
        <f>$H$106+(1168.65-1880)*(($H$143-$H$106)/(0-1880))</f>
        <v>5755.9740678191483</v>
      </c>
      <c r="I120" s="195">
        <f t="shared" si="52"/>
        <v>5755.98027027027</v>
      </c>
      <c r="J120" s="82" t="s">
        <v>86</v>
      </c>
      <c r="K120" s="157">
        <f>$K$112+(16094.16-$F$112)*(($K$140-$K$112)/($F$140-$F$112))</f>
        <v>5745.3981392322703</v>
      </c>
      <c r="L120" s="99">
        <f t="shared" si="53"/>
        <v>-0.2362164893620502</v>
      </c>
      <c r="M120" s="72">
        <f t="shared" si="54"/>
        <v>-0.2300140382403697</v>
      </c>
      <c r="N120" s="72">
        <f t="shared" si="55"/>
        <v>-10.582131037999716</v>
      </c>
      <c r="O120" s="72" t="s">
        <v>86</v>
      </c>
      <c r="P120" s="204">
        <f t="shared" si="56"/>
        <v>-10.812145076240085</v>
      </c>
      <c r="Q120" s="326"/>
      <c r="R120" s="327"/>
      <c r="S120" s="327"/>
      <c r="T120" s="327"/>
      <c r="U120" s="327"/>
      <c r="V120" s="327"/>
      <c r="W120" s="327"/>
      <c r="X120" s="328"/>
    </row>
    <row r="121" spans="1:24" x14ac:dyDescent="0.2">
      <c r="A121" s="78" t="s">
        <v>86</v>
      </c>
      <c r="B121" s="79" t="s">
        <v>86</v>
      </c>
      <c r="C121" s="191">
        <f t="shared" si="51"/>
        <v>16633.037837837852</v>
      </c>
      <c r="D121" s="77">
        <v>8010.58</v>
      </c>
      <c r="E121" s="44" t="s">
        <v>86</v>
      </c>
      <c r="F121" s="67"/>
      <c r="G121" s="155">
        <f>$G$106+(1117.84-1880)*(($G$143-$G$106)/(0-1880))</f>
        <v>5755.6824548936165</v>
      </c>
      <c r="H121" s="187">
        <f>$H$106+(1117.84-1880)*(($H$143-$H$106)/(0-1880))</f>
        <v>5755.4565085106378</v>
      </c>
      <c r="I121" s="195">
        <f t="shared" si="52"/>
        <v>5755.4624324324323</v>
      </c>
      <c r="J121" s="82" t="s">
        <v>86</v>
      </c>
      <c r="K121" s="157">
        <f>$K$112+(16083.93-$F$112)*(($K$140-$K$112)/($F$140-$F$112))</f>
        <v>5745.343228692258</v>
      </c>
      <c r="L121" s="99">
        <f t="shared" si="53"/>
        <v>-0.22594638297869096</v>
      </c>
      <c r="M121" s="72">
        <f t="shared" si="54"/>
        <v>-0.22002246118427138</v>
      </c>
      <c r="N121" s="72">
        <f t="shared" si="55"/>
        <v>-10.119203740174271</v>
      </c>
      <c r="O121" s="72" t="s">
        <v>86</v>
      </c>
      <c r="P121" s="204">
        <f t="shared" si="56"/>
        <v>-10.339226201358542</v>
      </c>
      <c r="Q121" s="326"/>
      <c r="R121" s="327"/>
      <c r="S121" s="327"/>
      <c r="T121" s="327"/>
      <c r="U121" s="327"/>
      <c r="V121" s="327"/>
      <c r="W121" s="327"/>
      <c r="X121" s="328"/>
    </row>
    <row r="122" spans="1:24" x14ac:dyDescent="0.2">
      <c r="A122" s="78" t="s">
        <v>86</v>
      </c>
      <c r="B122" s="79" t="s">
        <v>86</v>
      </c>
      <c r="C122" s="191">
        <f t="shared" si="51"/>
        <v>16582.227027027042</v>
      </c>
      <c r="D122" s="77">
        <v>7739.48</v>
      </c>
      <c r="E122" s="44" t="s">
        <v>86</v>
      </c>
      <c r="F122" s="67"/>
      <c r="G122" s="155">
        <f>$G$106+(1067.03-1880)*(($G$143-$G$106)/(0-1880))</f>
        <v>5755.1546254787227</v>
      </c>
      <c r="H122" s="187">
        <f>$H$106+(1067.03-1880)*(($H$143-$H$106)/(0-1880))</f>
        <v>5754.9389492021273</v>
      </c>
      <c r="I122" s="195">
        <f t="shared" si="52"/>
        <v>5754.9445945945945</v>
      </c>
      <c r="J122" s="82" t="s">
        <v>86</v>
      </c>
      <c r="K122" s="157">
        <f>$K$112+(16073.7-$F$112)*(($K$140-$K$112)/($F$140-$F$112))</f>
        <v>5745.2883181522448</v>
      </c>
      <c r="L122" s="99">
        <f t="shared" si="53"/>
        <v>-0.21567627659533173</v>
      </c>
      <c r="M122" s="72">
        <f t="shared" si="54"/>
        <v>-0.21003088412817306</v>
      </c>
      <c r="N122" s="72">
        <f t="shared" si="55"/>
        <v>-9.6562764423497356</v>
      </c>
      <c r="O122" s="72" t="s">
        <v>86</v>
      </c>
      <c r="P122" s="204">
        <f t="shared" si="56"/>
        <v>-9.8663073264779086</v>
      </c>
      <c r="Q122" s="326"/>
      <c r="R122" s="327"/>
      <c r="S122" s="327"/>
      <c r="T122" s="327"/>
      <c r="U122" s="327"/>
      <c r="V122" s="327"/>
      <c r="W122" s="327"/>
      <c r="X122" s="328"/>
    </row>
    <row r="123" spans="1:24" x14ac:dyDescent="0.2">
      <c r="A123" s="78" t="s">
        <v>86</v>
      </c>
      <c r="B123" s="79" t="s">
        <v>86</v>
      </c>
      <c r="C123" s="191">
        <f t="shared" si="51"/>
        <v>16531.416216216232</v>
      </c>
      <c r="D123" s="77">
        <v>7381.68</v>
      </c>
      <c r="E123" s="44" t="s">
        <v>86</v>
      </c>
      <c r="F123" s="67"/>
      <c r="G123" s="155">
        <f>$G$106+(1016.22-1880)*(($G$143-$G$106)/(0-1880))</f>
        <v>5754.6267960638297</v>
      </c>
      <c r="H123" s="187">
        <f>$H$106+(1016.22-1880)*(($H$143-$H$106)/(0-1880))</f>
        <v>5754.4213898936168</v>
      </c>
      <c r="I123" s="195">
        <f t="shared" si="52"/>
        <v>5754.4267567567567</v>
      </c>
      <c r="J123" s="82" t="s">
        <v>86</v>
      </c>
      <c r="K123" s="157">
        <f>$K$112+(16063.47-$F$112)*(($K$140-$K$112)/($F$140-$F$112))</f>
        <v>5745.2334076122315</v>
      </c>
      <c r="L123" s="99">
        <f t="shared" si="53"/>
        <v>-0.20540617021288199</v>
      </c>
      <c r="M123" s="72">
        <f t="shared" si="54"/>
        <v>-0.20003930707298423</v>
      </c>
      <c r="N123" s="72">
        <f t="shared" si="55"/>
        <v>-9.1933491445252002</v>
      </c>
      <c r="O123" s="72" t="s">
        <v>86</v>
      </c>
      <c r="P123" s="204">
        <f t="shared" si="56"/>
        <v>-9.3933884515981845</v>
      </c>
      <c r="Q123" s="326"/>
      <c r="R123" s="327"/>
      <c r="S123" s="327"/>
      <c r="T123" s="327"/>
      <c r="U123" s="327"/>
      <c r="V123" s="327"/>
      <c r="W123" s="327"/>
      <c r="X123" s="328"/>
    </row>
    <row r="124" spans="1:24" x14ac:dyDescent="0.2">
      <c r="A124" s="78" t="s">
        <v>86</v>
      </c>
      <c r="B124" s="79" t="s">
        <v>86</v>
      </c>
      <c r="C124" s="191">
        <f t="shared" si="51"/>
        <v>16480.605405405422</v>
      </c>
      <c r="D124" s="77">
        <v>6577.91</v>
      </c>
      <c r="E124" s="44" t="s">
        <v>86</v>
      </c>
      <c r="F124" s="67"/>
      <c r="G124" s="155">
        <f>$G$106+(965.41-1880)*(($G$143-$G$106)/(0-1880))</f>
        <v>5754.0989666489359</v>
      </c>
      <c r="H124" s="187">
        <f>$H$106+(965.41-1880)*(($H$143-$H$106)/(0-1880))</f>
        <v>5753.9038305851063</v>
      </c>
      <c r="I124" s="195">
        <f t="shared" si="52"/>
        <v>5753.908918918919</v>
      </c>
      <c r="J124" s="82" t="s">
        <v>86</v>
      </c>
      <c r="K124" s="157">
        <f>$K$112+(16053.24-$F$112)*(($K$140-$K$112)/($F$140-$F$112))</f>
        <v>5745.1784970722183</v>
      </c>
      <c r="L124" s="99">
        <f t="shared" si="53"/>
        <v>-0.19513606382952275</v>
      </c>
      <c r="M124" s="72">
        <f t="shared" si="54"/>
        <v>-0.19004773001688591</v>
      </c>
      <c r="N124" s="72">
        <f t="shared" si="55"/>
        <v>-8.7304218467006649</v>
      </c>
      <c r="O124" s="72" t="s">
        <v>86</v>
      </c>
      <c r="P124" s="204">
        <f t="shared" si="56"/>
        <v>-8.9204695767175508</v>
      </c>
      <c r="Q124" s="326"/>
      <c r="R124" s="327"/>
      <c r="S124" s="327"/>
      <c r="T124" s="327"/>
      <c r="U124" s="327"/>
      <c r="V124" s="327"/>
      <c r="W124" s="327"/>
      <c r="X124" s="328"/>
    </row>
    <row r="125" spans="1:24" x14ac:dyDescent="0.2">
      <c r="A125" s="78" t="s">
        <v>86</v>
      </c>
      <c r="B125" s="79" t="s">
        <v>86</v>
      </c>
      <c r="C125" s="191">
        <f t="shared" si="51"/>
        <v>16429.794594594612</v>
      </c>
      <c r="D125" s="77">
        <v>6225.71</v>
      </c>
      <c r="E125" s="44" t="s">
        <v>86</v>
      </c>
      <c r="F125" s="67"/>
      <c r="G125" s="155">
        <f>$G$106+(914.6-1880)*(($G$143-$G$106)/(0-1880))</f>
        <v>5753.571137234042</v>
      </c>
      <c r="H125" s="187">
        <f>$H$106+(914.6-1880)*(($H$143-$H$106)/(0-1880))</f>
        <v>5753.3862712765949</v>
      </c>
      <c r="I125" s="195">
        <f t="shared" si="52"/>
        <v>5753.3910810810812</v>
      </c>
      <c r="J125" s="82" t="s">
        <v>86</v>
      </c>
      <c r="K125" s="157">
        <f>$K$112+(16043.01-$F$112)*(($K$140-$K$112)/($F$140-$F$112))</f>
        <v>5745.1235865322051</v>
      </c>
      <c r="L125" s="99">
        <f t="shared" si="53"/>
        <v>-0.18486595744707301</v>
      </c>
      <c r="M125" s="72">
        <f t="shared" si="54"/>
        <v>-0.18005615296078759</v>
      </c>
      <c r="N125" s="72">
        <f t="shared" si="55"/>
        <v>-8.2674945488761296</v>
      </c>
      <c r="O125" s="72" t="s">
        <v>86</v>
      </c>
      <c r="P125" s="204">
        <f t="shared" si="56"/>
        <v>-8.4475507018369171</v>
      </c>
      <c r="Q125" s="326"/>
      <c r="R125" s="327"/>
      <c r="S125" s="327"/>
      <c r="T125" s="327"/>
      <c r="U125" s="327"/>
      <c r="V125" s="327"/>
      <c r="W125" s="327"/>
      <c r="X125" s="328"/>
    </row>
    <row r="126" spans="1:24" x14ac:dyDescent="0.2">
      <c r="A126" s="78" t="s">
        <v>86</v>
      </c>
      <c r="B126" s="79" t="s">
        <v>86</v>
      </c>
      <c r="C126" s="191">
        <f t="shared" si="51"/>
        <v>16378.983783783802</v>
      </c>
      <c r="D126" s="77">
        <v>5569.11</v>
      </c>
      <c r="E126" s="44" t="s">
        <v>86</v>
      </c>
      <c r="F126" s="67"/>
      <c r="G126" s="155">
        <f>$G$106+(863.78-1880)*(($G$143-$G$106)/(0-1880))</f>
        <v>5753.0432039361694</v>
      </c>
      <c r="H126" s="187">
        <f>$H$106+(863.78-1880)*(($H$143-$H$106)/(0-1880))</f>
        <v>5752.8686101063822</v>
      </c>
      <c r="I126" s="195">
        <f t="shared" si="52"/>
        <v>5752.8732432432435</v>
      </c>
      <c r="J126" s="82" t="s">
        <v>86</v>
      </c>
      <c r="K126" s="157">
        <f>$K$112+(16023.78-$F$112)*(($K$140-$K$112)/($F$140-$F$112))</f>
        <v>5745.0203675992188</v>
      </c>
      <c r="L126" s="99">
        <f t="shared" si="53"/>
        <v>-0.17459382978722715</v>
      </c>
      <c r="M126" s="72">
        <f t="shared" si="54"/>
        <v>-0.16996069292599714</v>
      </c>
      <c r="N126" s="72">
        <f t="shared" si="55"/>
        <v>-7.852875644024607</v>
      </c>
      <c r="O126" s="72" t="s">
        <v>86</v>
      </c>
      <c r="P126" s="204">
        <f t="shared" si="56"/>
        <v>-8.0228363369506042</v>
      </c>
      <c r="Q126" s="326"/>
      <c r="R126" s="327"/>
      <c r="S126" s="327"/>
      <c r="T126" s="327"/>
      <c r="U126" s="327"/>
      <c r="V126" s="327"/>
      <c r="W126" s="327"/>
      <c r="X126" s="328"/>
    </row>
    <row r="127" spans="1:24" x14ac:dyDescent="0.2">
      <c r="A127" s="78" t="s">
        <v>86</v>
      </c>
      <c r="B127" s="79" t="s">
        <v>86</v>
      </c>
      <c r="C127" s="191">
        <f t="shared" si="51"/>
        <v>16328.172972972992</v>
      </c>
      <c r="D127" s="77">
        <v>5306.21</v>
      </c>
      <c r="E127" s="44" t="s">
        <v>86</v>
      </c>
      <c r="F127" s="67"/>
      <c r="G127" s="155">
        <f>$G$106+(812.973-1880)*(($G$143-$G$106)/(0-1880))</f>
        <v>5752.5154056861702</v>
      </c>
      <c r="H127" s="187">
        <f>$H$106+(812.973-1880)*(($H$143-$H$106)/(0-1880))</f>
        <v>5752.3510813563826</v>
      </c>
      <c r="I127" s="195">
        <f t="shared" si="52"/>
        <v>5752.3554054054057</v>
      </c>
      <c r="J127" s="82" t="s">
        <v>86</v>
      </c>
      <c r="K127" s="157">
        <f>$K$112+(16022.55-$F$112)*(($K$140-$K$112)/($F$140-$F$112))</f>
        <v>5745.0137654521795</v>
      </c>
      <c r="L127" s="99">
        <f t="shared" si="53"/>
        <v>-0.16432432978763245</v>
      </c>
      <c r="M127" s="72">
        <f t="shared" si="54"/>
        <v>-0.1600002807645069</v>
      </c>
      <c r="N127" s="72">
        <f t="shared" si="55"/>
        <v>-7.3416399532261494</v>
      </c>
      <c r="O127" s="72" t="s">
        <v>86</v>
      </c>
      <c r="P127" s="204">
        <f t="shared" si="56"/>
        <v>-7.5016402339906563</v>
      </c>
      <c r="Q127" s="326"/>
      <c r="R127" s="327"/>
      <c r="S127" s="327"/>
      <c r="T127" s="327"/>
      <c r="U127" s="327"/>
      <c r="V127" s="327"/>
      <c r="W127" s="327"/>
      <c r="X127" s="328"/>
    </row>
    <row r="128" spans="1:24" x14ac:dyDescent="0.2">
      <c r="A128" s="78" t="s">
        <v>86</v>
      </c>
      <c r="B128" s="79" t="s">
        <v>86</v>
      </c>
      <c r="C128" s="191">
        <f t="shared" si="51"/>
        <v>16277.362162162182</v>
      </c>
      <c r="D128" s="77">
        <v>4980.8100000000004</v>
      </c>
      <c r="E128" s="44" t="s">
        <v>86</v>
      </c>
      <c r="F128" s="67"/>
      <c r="G128" s="155">
        <f>$G$106+(762.16-1880)*(($G$143-$G$106)/(0-1880))</f>
        <v>5751.9875451063826</v>
      </c>
      <c r="H128" s="187">
        <f>$H$106+(762.16-1880)*(($H$143-$H$106)/(0-1880))</f>
        <v>5751.8334914893612</v>
      </c>
      <c r="I128" s="195">
        <f t="shared" si="52"/>
        <v>5751.837567567567</v>
      </c>
      <c r="J128" s="82" t="s">
        <v>86</v>
      </c>
      <c r="K128" s="157">
        <f>$K$112+(16012.32-$F$112)*(($K$140-$K$112)/($F$140-$F$112))</f>
        <v>5744.9588549121663</v>
      </c>
      <c r="L128" s="99">
        <f t="shared" si="53"/>
        <v>-0.15405361702141818</v>
      </c>
      <c r="M128" s="72">
        <f t="shared" si="54"/>
        <v>-0.14997753881561948</v>
      </c>
      <c r="N128" s="72">
        <f t="shared" si="55"/>
        <v>-6.8787126554007045</v>
      </c>
      <c r="O128" s="72" t="s">
        <v>86</v>
      </c>
      <c r="P128" s="204">
        <f t="shared" si="56"/>
        <v>-7.028690194216324</v>
      </c>
      <c r="Q128" s="326"/>
      <c r="R128" s="327"/>
      <c r="S128" s="327"/>
      <c r="T128" s="327"/>
      <c r="U128" s="327"/>
      <c r="V128" s="327"/>
      <c r="W128" s="327"/>
      <c r="X128" s="328"/>
    </row>
    <row r="129" spans="1:24" x14ac:dyDescent="0.2">
      <c r="A129" s="78" t="s">
        <v>86</v>
      </c>
      <c r="B129" s="79" t="s">
        <v>86</v>
      </c>
      <c r="C129" s="191">
        <f t="shared" si="51"/>
        <v>16226.551351351372</v>
      </c>
      <c r="D129" s="77">
        <v>4659.6099999999997</v>
      </c>
      <c r="E129" s="44" t="s">
        <v>86</v>
      </c>
      <c r="F129" s="67"/>
      <c r="G129" s="155">
        <f>$G$106+(711.4-1880)*(($G$143-$G$106)/(0-1880))</f>
        <v>5751.4602351063822</v>
      </c>
      <c r="H129" s="187">
        <f>$H$106+(711.4-1880)*(($G$143-$G$106)/(0-1880))</f>
        <v>5751.0802351063821</v>
      </c>
      <c r="I129" s="195">
        <f t="shared" si="52"/>
        <v>5751.3197297297293</v>
      </c>
      <c r="J129" s="82" t="s">
        <v>86</v>
      </c>
      <c r="K129" s="157">
        <f>$K$112+(16002.09-$F$112)*(($K$140-$K$112)/($F$140-$F$112))</f>
        <v>5744.9039443721531</v>
      </c>
      <c r="L129" s="99">
        <f t="shared" si="53"/>
        <v>-0.38000000000010914</v>
      </c>
      <c r="M129" s="72">
        <f t="shared" si="54"/>
        <v>-0.14050537665298179</v>
      </c>
      <c r="N129" s="72">
        <f t="shared" si="55"/>
        <v>-6.4157853575761692</v>
      </c>
      <c r="O129" s="72" t="s">
        <v>86</v>
      </c>
      <c r="P129" s="204">
        <f t="shared" si="56"/>
        <v>-6.556290734229151</v>
      </c>
      <c r="Q129" s="326"/>
      <c r="R129" s="327"/>
      <c r="S129" s="327"/>
      <c r="T129" s="327"/>
      <c r="U129" s="327"/>
      <c r="V129" s="327"/>
      <c r="W129" s="327"/>
      <c r="X129" s="328"/>
    </row>
    <row r="130" spans="1:24" x14ac:dyDescent="0.2">
      <c r="A130" s="78" t="s">
        <v>86</v>
      </c>
      <c r="B130" s="79" t="s">
        <v>86</v>
      </c>
      <c r="C130" s="191">
        <f t="shared" si="51"/>
        <v>16175.740540540563</v>
      </c>
      <c r="D130" s="77">
        <v>3955.01</v>
      </c>
      <c r="E130" s="44" t="s">
        <v>86</v>
      </c>
      <c r="F130" s="67"/>
      <c r="G130" s="155">
        <f>$G$106+(660.541-1880)*(($G$143-$G$106)/(0-1880))</f>
        <v>5750.9318966648934</v>
      </c>
      <c r="H130" s="187">
        <f>$H$106+(660.541-1880)*(($H$143-$H$106)/(0-1880))</f>
        <v>5750.7983830585099</v>
      </c>
      <c r="I130" s="195">
        <f t="shared" si="52"/>
        <v>5750.8018918918915</v>
      </c>
      <c r="J130" s="82" t="s">
        <v>86</v>
      </c>
      <c r="K130" s="157">
        <f>$K$112+(15991.86-$F$112)*(($K$140-$K$112)/($F$140-$F$112))</f>
        <v>5744.8490338321408</v>
      </c>
      <c r="L130" s="99">
        <f t="shared" si="53"/>
        <v>-0.13351360638353071</v>
      </c>
      <c r="M130" s="72">
        <f t="shared" si="54"/>
        <v>-0.1300047730019287</v>
      </c>
      <c r="N130" s="72">
        <f t="shared" si="55"/>
        <v>-5.9528580597507244</v>
      </c>
      <c r="O130" s="72" t="s">
        <v>86</v>
      </c>
      <c r="P130" s="204">
        <f t="shared" si="56"/>
        <v>-6.082862832752653</v>
      </c>
      <c r="Q130" s="326"/>
      <c r="R130" s="327"/>
      <c r="S130" s="327"/>
      <c r="T130" s="327"/>
      <c r="U130" s="327"/>
      <c r="V130" s="327"/>
      <c r="W130" s="327"/>
      <c r="X130" s="328"/>
    </row>
    <row r="131" spans="1:24" x14ac:dyDescent="0.2">
      <c r="A131" s="78" t="s">
        <v>86</v>
      </c>
      <c r="B131" s="79" t="s">
        <v>86</v>
      </c>
      <c r="C131" s="191">
        <f t="shared" si="51"/>
        <v>16124.929729729753</v>
      </c>
      <c r="D131" s="77">
        <v>3179.91</v>
      </c>
      <c r="E131" s="44" t="s">
        <v>86</v>
      </c>
      <c r="F131" s="67"/>
      <c r="G131" s="155">
        <f>$G$106+(609.73-1880)*(($G$143-$G$106)/(0-1880))</f>
        <v>5750.404056861702</v>
      </c>
      <c r="H131" s="187">
        <f>$H$106+(609.73-1880)*(($H$143-$H$106)/(0-1880))</f>
        <v>5750.2808135638297</v>
      </c>
      <c r="I131" s="195">
        <f t="shared" si="52"/>
        <v>5750.2840540540537</v>
      </c>
      <c r="J131" s="82" t="s">
        <v>86</v>
      </c>
      <c r="K131" s="157">
        <f>$K$112+(15981.63-$F$112)*(($K$140-$K$112)/($F$140-$F$112))</f>
        <v>5744.7941232921276</v>
      </c>
      <c r="L131" s="99">
        <f t="shared" si="53"/>
        <v>-0.12324329787224997</v>
      </c>
      <c r="M131" s="72">
        <f t="shared" si="54"/>
        <v>-0.12000280764823401</v>
      </c>
      <c r="N131" s="72">
        <f t="shared" si="55"/>
        <v>-5.489930761926189</v>
      </c>
      <c r="O131" s="72" t="s">
        <v>86</v>
      </c>
      <c r="P131" s="204">
        <f t="shared" si="56"/>
        <v>-5.609933569574423</v>
      </c>
      <c r="Q131" s="326"/>
      <c r="R131" s="327"/>
      <c r="S131" s="327"/>
      <c r="T131" s="327"/>
      <c r="U131" s="327"/>
      <c r="V131" s="327"/>
      <c r="W131" s="327"/>
      <c r="X131" s="328"/>
    </row>
    <row r="132" spans="1:24" x14ac:dyDescent="0.2">
      <c r="A132" s="78" t="s">
        <v>86</v>
      </c>
      <c r="B132" s="79" t="s">
        <v>86</v>
      </c>
      <c r="C132" s="191">
        <f t="shared" si="51"/>
        <v>16074.118918918943</v>
      </c>
      <c r="D132" s="77">
        <v>2766.51</v>
      </c>
      <c r="E132" s="44" t="s">
        <v>86</v>
      </c>
      <c r="F132" s="67"/>
      <c r="G132" s="155">
        <f>$G$106+(558.92-1880)*(($G$143-$G$106)/(0-1880))</f>
        <v>5749.8762274468081</v>
      </c>
      <c r="H132" s="187">
        <f>$H$106+(558.92-1880)*(($H$143-$H$106)/(0-1880))</f>
        <v>5749.7632542553183</v>
      </c>
      <c r="I132" s="195">
        <f t="shared" si="52"/>
        <v>5749.766216216216</v>
      </c>
      <c r="J132" s="82" t="s">
        <v>86</v>
      </c>
      <c r="K132" s="157">
        <f>$K$112+(15971.4-$F$112)*(($K$140-$K$112)/($F$140-$F$112))</f>
        <v>5744.7392127521143</v>
      </c>
      <c r="L132" s="99">
        <f t="shared" si="53"/>
        <v>-0.11297319148980023</v>
      </c>
      <c r="M132" s="72">
        <f t="shared" si="54"/>
        <v>-0.11001123059213569</v>
      </c>
      <c r="N132" s="72">
        <f t="shared" si="55"/>
        <v>-5.0270034641016537</v>
      </c>
      <c r="O132" s="72" t="s">
        <v>86</v>
      </c>
      <c r="P132" s="204">
        <f t="shared" si="56"/>
        <v>-5.1370146946937894</v>
      </c>
      <c r="Q132" s="326"/>
      <c r="R132" s="327"/>
      <c r="S132" s="327"/>
      <c r="T132" s="327"/>
      <c r="U132" s="327"/>
      <c r="V132" s="327"/>
      <c r="W132" s="327"/>
      <c r="X132" s="328"/>
    </row>
    <row r="133" spans="1:24" x14ac:dyDescent="0.2">
      <c r="A133" s="78" t="s">
        <v>86</v>
      </c>
      <c r="B133" s="79" t="s">
        <v>86</v>
      </c>
      <c r="C133" s="191">
        <f t="shared" si="51"/>
        <v>16023.308108108133</v>
      </c>
      <c r="D133" s="77">
        <v>2489.61</v>
      </c>
      <c r="E133" s="44" t="s">
        <v>86</v>
      </c>
      <c r="F133" s="67"/>
      <c r="G133" s="155">
        <f>$G$106+(508.11-1880)*(($G$143-$G$106)/(0-1880))</f>
        <v>5749.3483980319143</v>
      </c>
      <c r="H133" s="187">
        <f>$H$106+(508.11-1880)*(($H$143-$H$106)/(0-1880))</f>
        <v>5749.2456949468078</v>
      </c>
      <c r="I133" s="195">
        <f t="shared" si="52"/>
        <v>5749.2483783783782</v>
      </c>
      <c r="J133" s="82" t="s">
        <v>86</v>
      </c>
      <c r="K133" s="157">
        <f>$K$112+(15961.2-$F$112)*(($K$140-$K$112)/($F$140-$F$112))</f>
        <v>5744.684463240078</v>
      </c>
      <c r="L133" s="99">
        <f t="shared" si="53"/>
        <v>-0.10270308510644099</v>
      </c>
      <c r="M133" s="72">
        <f t="shared" si="54"/>
        <v>-0.10001965353603737</v>
      </c>
      <c r="N133" s="72">
        <f t="shared" si="55"/>
        <v>-4.5639151383002172</v>
      </c>
      <c r="O133" s="72" t="s">
        <v>86</v>
      </c>
      <c r="P133" s="204">
        <f t="shared" si="56"/>
        <v>-4.6639347918362546</v>
      </c>
      <c r="Q133" s="326"/>
      <c r="R133" s="327"/>
      <c r="S133" s="327"/>
      <c r="T133" s="327"/>
      <c r="U133" s="327"/>
      <c r="V133" s="327"/>
      <c r="W133" s="327"/>
      <c r="X133" s="328"/>
    </row>
    <row r="134" spans="1:24" x14ac:dyDescent="0.2">
      <c r="A134" s="78" t="s">
        <v>86</v>
      </c>
      <c r="B134" s="79" t="s">
        <v>86</v>
      </c>
      <c r="C134" s="191">
        <f t="shared" si="51"/>
        <v>15972.497297297323</v>
      </c>
      <c r="D134" s="81">
        <v>2095.31</v>
      </c>
      <c r="E134" s="44" t="s">
        <v>86</v>
      </c>
      <c r="F134" s="67"/>
      <c r="G134" s="155">
        <f>$G$106+(457.3-1880)*(($G$143-$G$106)/(0-1880))</f>
        <v>5748.8205686170213</v>
      </c>
      <c r="H134" s="187">
        <f>$H$106+(457.3-1880)*(($H$143-$H$106)/(0-1880))</f>
        <v>5748.7281356382973</v>
      </c>
      <c r="I134" s="195">
        <f t="shared" si="52"/>
        <v>5748.7305405405405</v>
      </c>
      <c r="J134" s="82" t="s">
        <v>86</v>
      </c>
      <c r="K134" s="157">
        <f>$K$112+(15950.9-$F$112)*(($K$140-$K$112)/($F$140-$F$112))</f>
        <v>5744.6291769681193</v>
      </c>
      <c r="L134" s="99">
        <f t="shared" si="53"/>
        <v>-9.2432978723991255E-2</v>
      </c>
      <c r="M134" s="72">
        <f t="shared" si="54"/>
        <v>-9.002807648084854E-2</v>
      </c>
      <c r="N134" s="72">
        <f t="shared" si="55"/>
        <v>-4.1013635724211781</v>
      </c>
      <c r="O134" s="72" t="s">
        <v>86</v>
      </c>
      <c r="P134" s="204">
        <f t="shared" si="56"/>
        <v>-4.1913916489020266</v>
      </c>
      <c r="Q134" s="326"/>
      <c r="R134" s="327"/>
      <c r="S134" s="327"/>
      <c r="T134" s="327"/>
      <c r="U134" s="327"/>
      <c r="V134" s="327"/>
      <c r="W134" s="327"/>
      <c r="X134" s="328"/>
    </row>
    <row r="135" spans="1:24" x14ac:dyDescent="0.2">
      <c r="A135" s="78" t="s">
        <v>86</v>
      </c>
      <c r="B135" s="79" t="s">
        <v>86</v>
      </c>
      <c r="C135" s="191">
        <f t="shared" si="51"/>
        <v>15921.686486486513</v>
      </c>
      <c r="D135" s="81">
        <v>1847.7</v>
      </c>
      <c r="E135" s="44" t="s">
        <v>86</v>
      </c>
      <c r="F135" s="67"/>
      <c r="G135" s="155">
        <f>$G$106+(406.5-1880)*(($G$143-$G$106)/(0-1880))</f>
        <v>5748.2928430851061</v>
      </c>
      <c r="H135" s="187">
        <f>$H$106+(406.5-1880)*(($H$143-$H$106)/(0-1880))</f>
        <v>5748.210678191489</v>
      </c>
      <c r="I135" s="195">
        <f t="shared" si="52"/>
        <v>5748.2127027027027</v>
      </c>
      <c r="J135" s="82" t="s">
        <v>86</v>
      </c>
      <c r="K135" s="157">
        <f>$K$112+(15940.7-$F$112)*(($K$140-$K$112)/($F$140-$F$112))</f>
        <v>5744.574427456083</v>
      </c>
      <c r="L135" s="99">
        <f t="shared" si="53"/>
        <v>-8.2164893617118651E-2</v>
      </c>
      <c r="M135" s="72">
        <f t="shared" si="54"/>
        <v>-8.0140382403442345E-2</v>
      </c>
      <c r="N135" s="72">
        <f t="shared" si="55"/>
        <v>-3.6382752466197417</v>
      </c>
      <c r="O135" s="72" t="s">
        <v>86</v>
      </c>
      <c r="P135" s="204">
        <f t="shared" si="56"/>
        <v>-3.718415629023184</v>
      </c>
      <c r="Q135" s="326"/>
      <c r="R135" s="327"/>
      <c r="S135" s="327"/>
      <c r="T135" s="327"/>
      <c r="U135" s="327"/>
      <c r="V135" s="327"/>
      <c r="W135" s="327"/>
      <c r="X135" s="328"/>
    </row>
    <row r="136" spans="1:24" x14ac:dyDescent="0.2">
      <c r="A136" s="78" t="s">
        <v>86</v>
      </c>
      <c r="B136" s="79" t="s">
        <v>86</v>
      </c>
      <c r="C136" s="191">
        <f t="shared" si="51"/>
        <v>15870.875675675703</v>
      </c>
      <c r="D136" s="81">
        <v>1555.2</v>
      </c>
      <c r="E136" s="44" t="s">
        <v>86</v>
      </c>
      <c r="F136" s="67"/>
      <c r="G136" s="155">
        <f>$G$106+(355.7-1880)*(($G$143-$G$106)/(0-1880))</f>
        <v>5747.765117553191</v>
      </c>
      <c r="H136" s="187">
        <f>$H$106+(355.7-1880)*(($H$143-$H$106)/(0-1880))</f>
        <v>5747.6932207446807</v>
      </c>
      <c r="I136" s="195">
        <f t="shared" si="52"/>
        <v>5747.6948648648649</v>
      </c>
      <c r="J136" s="82" t="s">
        <v>86</v>
      </c>
      <c r="K136" s="157">
        <f>$K$112+(15930.5-$F$112)*(($K$140-$K$112)/($F$140-$F$112))</f>
        <v>5744.5196779440466</v>
      </c>
      <c r="L136" s="99">
        <f t="shared" si="53"/>
        <v>-7.1896808510246046E-2</v>
      </c>
      <c r="M136" s="72">
        <f t="shared" si="54"/>
        <v>-7.025268832603615E-2</v>
      </c>
      <c r="N136" s="72">
        <f t="shared" si="55"/>
        <v>-3.1751869208183052</v>
      </c>
      <c r="O136" s="72" t="s">
        <v>86</v>
      </c>
      <c r="P136" s="204">
        <f t="shared" si="56"/>
        <v>-3.2454396091443414</v>
      </c>
      <c r="Q136" s="326"/>
      <c r="R136" s="327"/>
      <c r="S136" s="327"/>
      <c r="T136" s="327"/>
      <c r="U136" s="327"/>
      <c r="V136" s="327"/>
      <c r="W136" s="327"/>
      <c r="X136" s="328"/>
    </row>
    <row r="137" spans="1:24" x14ac:dyDescent="0.2">
      <c r="A137" s="78" t="s">
        <v>86</v>
      </c>
      <c r="B137" s="79" t="s">
        <v>86</v>
      </c>
      <c r="C137" s="191">
        <f t="shared" si="51"/>
        <v>15820.064864864893</v>
      </c>
      <c r="D137" s="81">
        <v>1253.0999999999999</v>
      </c>
      <c r="E137" s="44" t="s">
        <v>86</v>
      </c>
      <c r="F137" s="67"/>
      <c r="G137" s="155">
        <f>$G$106+(304.9-1880)*(($G$143-$G$106)/(0-1880))</f>
        <v>5747.2373920212758</v>
      </c>
      <c r="H137" s="187">
        <f>$H$106+(304.9-1880)*(($H$143-$H$106)/(0-1880))</f>
        <v>5747.1757632978724</v>
      </c>
      <c r="I137" s="195">
        <f t="shared" si="52"/>
        <v>5747.1770270270272</v>
      </c>
      <c r="J137" s="82" t="s">
        <v>86</v>
      </c>
      <c r="K137" s="157">
        <f>$K$112+(15920.25-$F$112)*(($K$140-$K$112)/($F$140-$F$112))</f>
        <v>5744.4646600520491</v>
      </c>
      <c r="L137" s="99">
        <f t="shared" si="53"/>
        <v>-6.1628723403373442E-2</v>
      </c>
      <c r="M137" s="72">
        <f t="shared" si="54"/>
        <v>-6.0364994248629955E-2</v>
      </c>
      <c r="N137" s="72">
        <f t="shared" si="55"/>
        <v>-2.7123669749780674</v>
      </c>
      <c r="O137" s="72" t="s">
        <v>86</v>
      </c>
      <c r="P137" s="204">
        <f t="shared" si="56"/>
        <v>-2.7727319692266974</v>
      </c>
      <c r="Q137" s="326"/>
      <c r="R137" s="327"/>
      <c r="S137" s="327"/>
      <c r="T137" s="327"/>
      <c r="U137" s="327"/>
      <c r="V137" s="327"/>
      <c r="W137" s="327"/>
      <c r="X137" s="328"/>
    </row>
    <row r="138" spans="1:24" x14ac:dyDescent="0.2">
      <c r="A138" s="78" t="s">
        <v>86</v>
      </c>
      <c r="B138" s="79" t="s">
        <v>86</v>
      </c>
      <c r="C138" s="191">
        <f t="shared" si="51"/>
        <v>15769.254054054083</v>
      </c>
      <c r="D138" s="81">
        <v>845.2</v>
      </c>
      <c r="E138" s="44" t="s">
        <v>86</v>
      </c>
      <c r="F138" s="67"/>
      <c r="G138" s="155">
        <f>$G$106+(254.1-1880)*(($G$143-$G$106)/(0-1880))</f>
        <v>5746.7096664893616</v>
      </c>
      <c r="H138" s="187">
        <f>$H$106+(254.1-1880)*(($H$143-$H$106)/(0-1880))</f>
        <v>5746.6583058510632</v>
      </c>
      <c r="I138" s="195">
        <f t="shared" si="52"/>
        <v>5746.6591891891894</v>
      </c>
      <c r="J138" s="82" t="s">
        <v>86</v>
      </c>
      <c r="K138" s="157">
        <f>$K$112+(15910.02-$F$112)*(($K$140-$K$112)/($F$140-$F$112))</f>
        <v>5744.4097495120359</v>
      </c>
      <c r="L138" s="99">
        <f t="shared" si="53"/>
        <v>-5.1360638298319827E-2</v>
      </c>
      <c r="M138" s="72">
        <f t="shared" si="54"/>
        <v>-5.0477300172133255E-2</v>
      </c>
      <c r="N138" s="72">
        <f t="shared" si="55"/>
        <v>-2.2494396771535321</v>
      </c>
      <c r="O138" s="72" t="s">
        <v>86</v>
      </c>
      <c r="P138" s="204">
        <f t="shared" si="56"/>
        <v>-2.2999169773256654</v>
      </c>
      <c r="Q138" s="326"/>
      <c r="R138" s="327"/>
      <c r="S138" s="327"/>
      <c r="T138" s="327"/>
      <c r="U138" s="327"/>
      <c r="V138" s="327"/>
      <c r="W138" s="327"/>
      <c r="X138" s="328"/>
    </row>
    <row r="139" spans="1:24" ht="15.75" thickBot="1" x14ac:dyDescent="0.25">
      <c r="A139" s="78" t="s">
        <v>86</v>
      </c>
      <c r="B139" s="79" t="s">
        <v>86</v>
      </c>
      <c r="C139" s="191">
        <f t="shared" si="51"/>
        <v>15718.443243243273</v>
      </c>
      <c r="D139" s="81">
        <v>770.2</v>
      </c>
      <c r="E139" s="44" t="s">
        <v>86</v>
      </c>
      <c r="F139" s="67"/>
      <c r="G139" s="155">
        <f>$G$106+(203.24-1880)*(($G$143-$G$106)/(0-1880))</f>
        <v>5746.1813176595742</v>
      </c>
      <c r="H139" s="187">
        <f>$H$106+(203.24-1880)*(($H$143-$H$106)/(0-1880))</f>
        <v>5746.1402372340426</v>
      </c>
      <c r="I139" s="195">
        <f t="shared" si="52"/>
        <v>5746.1413513513517</v>
      </c>
      <c r="J139" s="82" t="s">
        <v>86</v>
      </c>
      <c r="K139" s="157">
        <f>$K$112+(15899.79-$F$112)*(($K$140-$K$112)/($F$140-$F$112))</f>
        <v>5744.3548389720227</v>
      </c>
      <c r="L139" s="99">
        <f t="shared" si="53"/>
        <v>-4.1080425531617948E-2</v>
      </c>
      <c r="M139" s="72">
        <f t="shared" si="54"/>
        <v>-3.9966308222574298E-2</v>
      </c>
      <c r="N139" s="72">
        <f t="shared" si="55"/>
        <v>-1.7865123793289968</v>
      </c>
      <c r="O139" s="72" t="s">
        <v>86</v>
      </c>
      <c r="P139" s="204">
        <f t="shared" si="56"/>
        <v>-1.8264786875515711</v>
      </c>
      <c r="Q139" s="326"/>
      <c r="R139" s="327"/>
      <c r="S139" s="327"/>
      <c r="T139" s="327"/>
      <c r="U139" s="327"/>
      <c r="V139" s="327"/>
      <c r="W139" s="327"/>
      <c r="X139" s="328"/>
    </row>
    <row r="140" spans="1:24" ht="31.15" customHeight="1" x14ac:dyDescent="0.2">
      <c r="A140" s="78" t="s">
        <v>86</v>
      </c>
      <c r="B140" s="79" t="s">
        <v>86</v>
      </c>
      <c r="C140" s="191">
        <f t="shared" si="51"/>
        <v>15667.632432432463</v>
      </c>
      <c r="D140" s="81">
        <v>585.29999999999995</v>
      </c>
      <c r="E140" s="44">
        <v>15869.08</v>
      </c>
      <c r="F140" s="109">
        <v>15869.079999999998</v>
      </c>
      <c r="G140" s="155">
        <f>$G$106+(152.4-1880)*(($G$143-$G$106)/(0-1880))</f>
        <v>5745.6531765957443</v>
      </c>
      <c r="H140" s="187">
        <f>$H$106+(152.4-1880)*(($H$143-$H$106)/(0-1880))</f>
        <v>5745.6223723404255</v>
      </c>
      <c r="I140" s="195">
        <f t="shared" si="52"/>
        <v>5745.6235135135139</v>
      </c>
      <c r="J140" s="82" t="s">
        <v>86</v>
      </c>
      <c r="K140" s="69">
        <v>5744.19</v>
      </c>
      <c r="L140" s="99">
        <f t="shared" si="53"/>
        <v>-3.0804255318798823E-2</v>
      </c>
      <c r="M140" s="72">
        <f t="shared" si="54"/>
        <v>-2.9663082230399596E-2</v>
      </c>
      <c r="N140" s="72">
        <f t="shared" si="55"/>
        <v>-1.4335135135142991</v>
      </c>
      <c r="O140" s="402" t="s">
        <v>86</v>
      </c>
      <c r="P140" s="204">
        <f t="shared" si="56"/>
        <v>-1.4631765957446987</v>
      </c>
      <c r="Q140" s="347" t="s">
        <v>103</v>
      </c>
      <c r="R140" s="348"/>
      <c r="S140" s="348"/>
      <c r="T140" s="348"/>
      <c r="U140" s="348"/>
      <c r="V140" s="348"/>
      <c r="W140" s="348"/>
      <c r="X140" s="349"/>
    </row>
    <row r="141" spans="1:24" ht="30.6" customHeight="1" x14ac:dyDescent="0.2">
      <c r="A141" s="78" t="s">
        <v>86</v>
      </c>
      <c r="B141" s="79" t="s">
        <v>86</v>
      </c>
      <c r="C141" s="191">
        <f t="shared" si="51"/>
        <v>15616.821621621653</v>
      </c>
      <c r="D141" s="81">
        <v>472.4</v>
      </c>
      <c r="E141" s="44">
        <v>15760.48</v>
      </c>
      <c r="F141" s="109">
        <v>15760.479999999998</v>
      </c>
      <c r="G141" s="155">
        <f>$G$106+(101.62-1880)*(($G$143-$G$106)/(0-1880))</f>
        <v>5745.1256588297865</v>
      </c>
      <c r="H141" s="187">
        <f>$H$106+(101.62-1880)*(($H$143-$H$106)/(0-1880))</f>
        <v>5745.1051186170207</v>
      </c>
      <c r="I141" s="195">
        <f t="shared" si="52"/>
        <v>5745.1056756756761</v>
      </c>
      <c r="J141" s="82" t="s">
        <v>86</v>
      </c>
      <c r="K141" s="69">
        <v>5743.83</v>
      </c>
      <c r="L141" s="99">
        <f t="shared" si="53"/>
        <v>-2.0540212765808974E-2</v>
      </c>
      <c r="M141" s="72">
        <f t="shared" si="54"/>
        <v>-1.9983154110377654E-2</v>
      </c>
      <c r="N141" s="72">
        <f t="shared" si="55"/>
        <v>-1.2756756756762115</v>
      </c>
      <c r="O141" s="402" t="s">
        <v>86</v>
      </c>
      <c r="P141" s="204">
        <f t="shared" si="56"/>
        <v>-1.2956588297865892</v>
      </c>
      <c r="Q141" s="350" t="s">
        <v>102</v>
      </c>
      <c r="R141" s="351"/>
      <c r="S141" s="351"/>
      <c r="T141" s="351"/>
      <c r="U141" s="351"/>
      <c r="V141" s="351"/>
      <c r="W141" s="351"/>
      <c r="X141" s="352"/>
    </row>
    <row r="142" spans="1:24" x14ac:dyDescent="0.2">
      <c r="A142" s="78" t="s">
        <v>86</v>
      </c>
      <c r="B142" s="79" t="s">
        <v>86</v>
      </c>
      <c r="C142" s="191">
        <f t="shared" si="51"/>
        <v>15566.010810810843</v>
      </c>
      <c r="D142" s="81">
        <v>222.7</v>
      </c>
      <c r="E142" s="44" t="s">
        <v>86</v>
      </c>
      <c r="F142" s="165">
        <v>15624</v>
      </c>
      <c r="G142" s="155">
        <f>$G$106+(50.811-1880)*(($G$143-$G$106)/(0-1880))</f>
        <v>5744.5978398031912</v>
      </c>
      <c r="H142" s="187">
        <f>$H$106+(50.811-1880)*(($H$143-$H$106)/(0-1880))</f>
        <v>5744.5875694946808</v>
      </c>
      <c r="I142" s="195">
        <f t="shared" si="52"/>
        <v>5744.5878378378375</v>
      </c>
      <c r="J142" s="82" t="s">
        <v>86</v>
      </c>
      <c r="K142" s="157">
        <f>$K$141+(F142-$F$141)*(($K$143-$K$141)/($F$143-$F$141))</f>
        <v>5743.5941705882351</v>
      </c>
      <c r="L142" s="99">
        <f t="shared" si="53"/>
        <v>-1.0270308510371251E-2</v>
      </c>
      <c r="M142" s="72">
        <f t="shared" si="54"/>
        <v>-1.0001965353694686E-2</v>
      </c>
      <c r="N142" s="72">
        <f t="shared" si="55"/>
        <v>-0.99366724960236752</v>
      </c>
      <c r="O142" s="72" t="s">
        <v>86</v>
      </c>
      <c r="P142" s="204">
        <f t="shared" si="56"/>
        <v>-1.0036692149560622</v>
      </c>
      <c r="Q142" s="326"/>
      <c r="R142" s="327"/>
      <c r="S142" s="327"/>
      <c r="T142" s="327"/>
      <c r="U142" s="327"/>
      <c r="V142" s="327"/>
      <c r="W142" s="327"/>
      <c r="X142" s="328"/>
    </row>
    <row r="143" spans="1:24" x14ac:dyDescent="0.2">
      <c r="A143" s="63">
        <v>15512</v>
      </c>
      <c r="B143" s="79">
        <v>15515.2</v>
      </c>
      <c r="C143" s="79">
        <v>15515.2</v>
      </c>
      <c r="D143" s="81">
        <v>200.4</v>
      </c>
      <c r="E143" s="44">
        <v>15488.48</v>
      </c>
      <c r="F143" s="109">
        <v>15488.479999999998</v>
      </c>
      <c r="G143" s="122">
        <v>5744.07</v>
      </c>
      <c r="H143" s="123">
        <v>5744.07</v>
      </c>
      <c r="I143" s="68">
        <v>5744.07</v>
      </c>
      <c r="J143" s="82" t="s">
        <v>86</v>
      </c>
      <c r="K143" s="69">
        <v>5743.36</v>
      </c>
      <c r="L143" s="75">
        <f t="shared" si="50"/>
        <v>0</v>
      </c>
      <c r="M143" s="72">
        <f t="shared" si="10"/>
        <v>0</v>
      </c>
      <c r="N143" s="72">
        <f t="shared" si="11"/>
        <v>-0.71000000000003638</v>
      </c>
      <c r="O143" s="72" t="s">
        <v>86</v>
      </c>
      <c r="P143" s="73">
        <f t="shared" si="37"/>
        <v>-0.71000000000003638</v>
      </c>
      <c r="Q143" s="326"/>
      <c r="R143" s="327"/>
      <c r="S143" s="327"/>
      <c r="T143" s="327"/>
      <c r="U143" s="327"/>
      <c r="V143" s="327"/>
      <c r="W143" s="327"/>
      <c r="X143" s="328"/>
    </row>
    <row r="144" spans="1:24" x14ac:dyDescent="0.2">
      <c r="A144" s="63">
        <v>15150</v>
      </c>
      <c r="B144" s="79">
        <v>15150.2</v>
      </c>
      <c r="C144" s="79">
        <v>15150.2</v>
      </c>
      <c r="D144" s="77">
        <v>15152.48</v>
      </c>
      <c r="E144" s="44">
        <v>15152.48</v>
      </c>
      <c r="F144" s="109">
        <v>15152.479999999998</v>
      </c>
      <c r="G144" s="122">
        <v>5741.5999999999995</v>
      </c>
      <c r="H144" s="123">
        <v>5741.5999999999995</v>
      </c>
      <c r="I144" s="68">
        <v>5741.6</v>
      </c>
      <c r="J144" s="82">
        <v>5741.6</v>
      </c>
      <c r="K144" s="69">
        <v>5741.6</v>
      </c>
      <c r="L144" s="75">
        <f t="shared" si="50"/>
        <v>0</v>
      </c>
      <c r="M144" s="72">
        <f t="shared" si="10"/>
        <v>0</v>
      </c>
      <c r="N144" s="72">
        <f t="shared" si="11"/>
        <v>0</v>
      </c>
      <c r="O144" s="72">
        <f t="shared" si="36"/>
        <v>0</v>
      </c>
      <c r="P144" s="73">
        <f t="shared" si="37"/>
        <v>0</v>
      </c>
      <c r="Q144" s="326"/>
      <c r="R144" s="327"/>
      <c r="S144" s="327"/>
      <c r="T144" s="327"/>
      <c r="U144" s="327"/>
      <c r="V144" s="327"/>
      <c r="W144" s="327"/>
      <c r="X144" s="328"/>
    </row>
    <row r="145" spans="1:24" ht="15.75" thickBot="1" x14ac:dyDescent="0.25">
      <c r="A145" s="63">
        <v>14950</v>
      </c>
      <c r="B145" s="79">
        <v>14950.2</v>
      </c>
      <c r="C145" s="79">
        <v>14950.2</v>
      </c>
      <c r="D145" s="77">
        <v>14927.18</v>
      </c>
      <c r="E145" s="44">
        <v>14927.18</v>
      </c>
      <c r="F145" s="109">
        <v>14927.179999999998</v>
      </c>
      <c r="G145" s="122">
        <v>5740.5899999999992</v>
      </c>
      <c r="H145" s="123">
        <v>5740.5899999999992</v>
      </c>
      <c r="I145" s="68">
        <v>5740.59</v>
      </c>
      <c r="J145" s="82">
        <v>5740.02</v>
      </c>
      <c r="K145" s="69">
        <v>5740.02</v>
      </c>
      <c r="L145" s="75">
        <f t="shared" si="50"/>
        <v>0</v>
      </c>
      <c r="M145" s="72">
        <f t="shared" si="10"/>
        <v>0</v>
      </c>
      <c r="N145" s="72">
        <f t="shared" si="11"/>
        <v>-0.56999999999970896</v>
      </c>
      <c r="O145" s="72">
        <f t="shared" si="36"/>
        <v>0</v>
      </c>
      <c r="P145" s="73">
        <f t="shared" si="37"/>
        <v>-0.56999999999879947</v>
      </c>
      <c r="Q145" s="326"/>
      <c r="R145" s="327"/>
      <c r="S145" s="327"/>
      <c r="T145" s="327"/>
      <c r="U145" s="327"/>
      <c r="V145" s="327"/>
      <c r="W145" s="327"/>
      <c r="X145" s="328"/>
    </row>
    <row r="146" spans="1:24" ht="30.6" customHeight="1" thickBot="1" x14ac:dyDescent="0.25">
      <c r="A146" s="138">
        <v>14800</v>
      </c>
      <c r="B146" s="139">
        <v>14800.2</v>
      </c>
      <c r="C146" s="139">
        <v>14800.2</v>
      </c>
      <c r="D146" s="140">
        <v>14785.38</v>
      </c>
      <c r="E146" s="141">
        <v>14785.38</v>
      </c>
      <c r="F146" s="142">
        <v>14785.38</v>
      </c>
      <c r="G146" s="143">
        <v>5739.17</v>
      </c>
      <c r="H146" s="144">
        <v>5739.17</v>
      </c>
      <c r="I146" s="145">
        <v>5739.18</v>
      </c>
      <c r="J146" s="201">
        <v>5739.6</v>
      </c>
      <c r="K146" s="202">
        <v>5739.6</v>
      </c>
      <c r="L146" s="146">
        <f t="shared" si="50"/>
        <v>0</v>
      </c>
      <c r="M146" s="147">
        <f t="shared" si="10"/>
        <v>1.0000000000218279E-2</v>
      </c>
      <c r="N146" s="147">
        <f t="shared" si="11"/>
        <v>0.42000000000007276</v>
      </c>
      <c r="O146" s="151">
        <f t="shared" si="36"/>
        <v>0</v>
      </c>
      <c r="P146" s="148">
        <f t="shared" si="37"/>
        <v>0.43000000000029104</v>
      </c>
      <c r="Q146" s="283" t="s">
        <v>104</v>
      </c>
      <c r="R146" s="284"/>
      <c r="S146" s="284"/>
      <c r="T146" s="284"/>
      <c r="U146" s="284"/>
      <c r="V146" s="284"/>
      <c r="W146" s="284"/>
      <c r="X146" s="285"/>
    </row>
    <row r="147" spans="1:24" ht="15.75" thickBot="1" x14ac:dyDescent="0.25">
      <c r="A147" s="344" t="s">
        <v>106</v>
      </c>
      <c r="B147" s="345"/>
      <c r="C147" s="345"/>
      <c r="D147" s="345"/>
      <c r="E147" s="345"/>
      <c r="F147" s="345"/>
      <c r="G147" s="345"/>
      <c r="H147" s="345"/>
      <c r="I147" s="345"/>
      <c r="J147" s="345"/>
      <c r="K147" s="345"/>
      <c r="L147" s="345"/>
      <c r="M147" s="345"/>
      <c r="N147" s="345"/>
      <c r="O147" s="345"/>
      <c r="P147" s="346"/>
      <c r="Q147" s="326"/>
      <c r="R147" s="327"/>
      <c r="S147" s="327"/>
      <c r="T147" s="327"/>
      <c r="U147" s="327"/>
      <c r="V147" s="327"/>
      <c r="W147" s="327"/>
      <c r="X147" s="328"/>
    </row>
    <row r="148" spans="1:24" s="3" customFormat="1" ht="12.75" x14ac:dyDescent="0.2">
      <c r="A148" s="57" t="s">
        <v>68</v>
      </c>
      <c r="B148" s="57"/>
      <c r="C148" s="57"/>
      <c r="D148" s="57"/>
      <c r="E148" s="57"/>
      <c r="F148" s="57"/>
      <c r="G148" s="57"/>
      <c r="H148" s="57"/>
      <c r="I148" s="57"/>
      <c r="J148" s="57"/>
      <c r="K148" s="57"/>
      <c r="L148" s="57"/>
      <c r="M148" s="57"/>
      <c r="N148" s="57"/>
      <c r="O148" s="57"/>
      <c r="P148" s="57"/>
    </row>
    <row r="149" spans="1:24" s="3" customFormat="1" x14ac:dyDescent="0.2">
      <c r="A149" s="58" t="s">
        <v>69</v>
      </c>
      <c r="B149" s="58"/>
      <c r="C149" s="58"/>
      <c r="D149" s="58"/>
      <c r="E149" s="58"/>
      <c r="F149" s="58"/>
      <c r="G149" s="133"/>
      <c r="H149" s="3" t="s">
        <v>110</v>
      </c>
      <c r="I149" s="58"/>
      <c r="J149" s="58"/>
      <c r="K149" s="58"/>
      <c r="L149" s="60"/>
      <c r="M149" s="15" t="s">
        <v>87</v>
      </c>
      <c r="N149" s="58"/>
      <c r="O149" s="58"/>
      <c r="P149" s="58"/>
      <c r="Q149" s="61"/>
      <c r="R149" s="3" t="s">
        <v>89</v>
      </c>
      <c r="T149" s="62"/>
      <c r="U149" s="3" t="s">
        <v>90</v>
      </c>
    </row>
    <row r="150" spans="1:24" s="3" customFormat="1" ht="12.75" x14ac:dyDescent="0.2"/>
    <row r="151" spans="1:24" s="3" customFormat="1" ht="12.75" x14ac:dyDescent="0.2">
      <c r="G151" s="134"/>
      <c r="H151" s="3" t="s">
        <v>111</v>
      </c>
    </row>
    <row r="152" spans="1:24" s="3" customFormat="1" ht="12.75" x14ac:dyDescent="0.2"/>
    <row r="153" spans="1:24" s="3" customFormat="1" ht="12.75" x14ac:dyDescent="0.2"/>
    <row r="154" spans="1:24" s="3" customFormat="1" ht="12.75" x14ac:dyDescent="0.2"/>
    <row r="155" spans="1:24" s="3" customFormat="1" ht="12.75" x14ac:dyDescent="0.2"/>
    <row r="156" spans="1:24" s="3" customFormat="1" ht="12.75" x14ac:dyDescent="0.2"/>
    <row r="157" spans="1:24" s="3" customFormat="1" ht="12.75" x14ac:dyDescent="0.2"/>
    <row r="158" spans="1:24" s="3" customFormat="1" ht="12.75" x14ac:dyDescent="0.2"/>
    <row r="159" spans="1:24" s="3" customFormat="1" ht="12.75" x14ac:dyDescent="0.2"/>
    <row r="160" spans="1:24" s="3" customFormat="1" ht="12.75" x14ac:dyDescent="0.2"/>
    <row r="161" spans="1:16" s="3" customFormat="1" ht="12.75" x14ac:dyDescent="0.2">
      <c r="G161"/>
    </row>
    <row r="162" spans="1:16" s="3" customFormat="1" ht="12.75" x14ac:dyDescent="0.2">
      <c r="G162"/>
    </row>
    <row r="163" spans="1:16" s="3" customFormat="1" ht="12.75" x14ac:dyDescent="0.2">
      <c r="G163"/>
    </row>
    <row r="164" spans="1:16" s="3" customFormat="1" ht="12.75" x14ac:dyDescent="0.2">
      <c r="G164"/>
    </row>
    <row r="165" spans="1:16" s="3" customFormat="1" ht="12.75" x14ac:dyDescent="0.2">
      <c r="G165"/>
    </row>
    <row r="166" spans="1:16" s="3" customFormat="1" ht="12.75" x14ac:dyDescent="0.2">
      <c r="G166"/>
    </row>
    <row r="167" spans="1:16" s="3" customFormat="1" ht="12.75" x14ac:dyDescent="0.2">
      <c r="G167"/>
    </row>
    <row r="168" spans="1:16" s="3" customFormat="1" ht="12.75" x14ac:dyDescent="0.2">
      <c r="G168"/>
    </row>
    <row r="169" spans="1:16" s="3" customFormat="1" ht="12.75" x14ac:dyDescent="0.2">
      <c r="G169"/>
    </row>
    <row r="170" spans="1:16" x14ac:dyDescent="0.2">
      <c r="A170" s="3"/>
      <c r="B170" s="3"/>
      <c r="C170" s="3"/>
      <c r="D170" s="3"/>
      <c r="E170" s="3"/>
      <c r="F170" s="3"/>
      <c r="G170"/>
      <c r="H170" s="3"/>
      <c r="I170" s="3"/>
      <c r="J170" s="3"/>
      <c r="K170" s="3"/>
      <c r="L170" s="3"/>
      <c r="M170" s="3"/>
      <c r="N170" s="3"/>
      <c r="O170" s="3"/>
      <c r="P170" s="3"/>
    </row>
    <row r="171" spans="1:16" x14ac:dyDescent="0.2">
      <c r="A171" s="3"/>
      <c r="B171" s="3"/>
      <c r="C171" s="3"/>
      <c r="D171" s="3"/>
      <c r="E171" s="3"/>
      <c r="F171" s="3"/>
      <c r="G171"/>
      <c r="H171" s="3"/>
      <c r="I171" s="3"/>
      <c r="J171" s="3"/>
      <c r="K171" s="3"/>
      <c r="L171" s="3"/>
      <c r="M171" s="3"/>
      <c r="N171" s="3"/>
      <c r="O171" s="3"/>
      <c r="P171" s="3"/>
    </row>
    <row r="172" spans="1:16" x14ac:dyDescent="0.2">
      <c r="G172"/>
      <c r="L172" s="3"/>
      <c r="M172" s="3"/>
      <c r="N172" s="3"/>
      <c r="O172" s="3"/>
    </row>
    <row r="173" spans="1:16" x14ac:dyDescent="0.2">
      <c r="G173"/>
      <c r="L173" s="3"/>
      <c r="M173" s="3"/>
      <c r="N173" s="3"/>
      <c r="O173" s="3"/>
    </row>
    <row r="174" spans="1:16" x14ac:dyDescent="0.2">
      <c r="G174"/>
      <c r="L174" s="3"/>
      <c r="M174" s="3"/>
      <c r="N174" s="3"/>
      <c r="O174" s="3"/>
    </row>
    <row r="175" spans="1:16" x14ac:dyDescent="0.2">
      <c r="G175"/>
    </row>
    <row r="176" spans="1:16" x14ac:dyDescent="0.2">
      <c r="G176"/>
    </row>
    <row r="177" spans="7:7" x14ac:dyDescent="0.2">
      <c r="G177"/>
    </row>
    <row r="178" spans="7:7" x14ac:dyDescent="0.2">
      <c r="G178"/>
    </row>
    <row r="179" spans="7:7" x14ac:dyDescent="0.2">
      <c r="G179"/>
    </row>
    <row r="180" spans="7:7" x14ac:dyDescent="0.2">
      <c r="G180"/>
    </row>
    <row r="181" spans="7:7" x14ac:dyDescent="0.2">
      <c r="G181"/>
    </row>
    <row r="182" spans="7:7" x14ac:dyDescent="0.2">
      <c r="G182"/>
    </row>
    <row r="183" spans="7:7" x14ac:dyDescent="0.2">
      <c r="G183"/>
    </row>
    <row r="184" spans="7:7" x14ac:dyDescent="0.2">
      <c r="G184"/>
    </row>
    <row r="185" spans="7:7" x14ac:dyDescent="0.2">
      <c r="G185"/>
    </row>
    <row r="186" spans="7:7" x14ac:dyDescent="0.2">
      <c r="G186"/>
    </row>
    <row r="187" spans="7:7" x14ac:dyDescent="0.2">
      <c r="G187"/>
    </row>
    <row r="188" spans="7:7" x14ac:dyDescent="0.2">
      <c r="G188"/>
    </row>
    <row r="189" spans="7:7" x14ac:dyDescent="0.2">
      <c r="G189"/>
    </row>
    <row r="190" spans="7:7" x14ac:dyDescent="0.2">
      <c r="G190"/>
    </row>
    <row r="191" spans="7:7" x14ac:dyDescent="0.2">
      <c r="G191"/>
    </row>
    <row r="192" spans="7:7" x14ac:dyDescent="0.2">
      <c r="G192"/>
    </row>
    <row r="193" spans="7:7" x14ac:dyDescent="0.2">
      <c r="G193"/>
    </row>
    <row r="194" spans="7:7" x14ac:dyDescent="0.2">
      <c r="G194"/>
    </row>
    <row r="195" spans="7:7" x14ac:dyDescent="0.2">
      <c r="G195"/>
    </row>
    <row r="196" spans="7:7" x14ac:dyDescent="0.2">
      <c r="G196"/>
    </row>
    <row r="197" spans="7:7" x14ac:dyDescent="0.2">
      <c r="G197"/>
    </row>
    <row r="198" spans="7:7" x14ac:dyDescent="0.2">
      <c r="G198"/>
    </row>
    <row r="199" spans="7:7" x14ac:dyDescent="0.2">
      <c r="G199"/>
    </row>
    <row r="200" spans="7:7" x14ac:dyDescent="0.2">
      <c r="G200"/>
    </row>
    <row r="201" spans="7:7" x14ac:dyDescent="0.2">
      <c r="G201"/>
    </row>
    <row r="202" spans="7:7" x14ac:dyDescent="0.2">
      <c r="G202"/>
    </row>
    <row r="203" spans="7:7" x14ac:dyDescent="0.2">
      <c r="G203"/>
    </row>
    <row r="204" spans="7:7" x14ac:dyDescent="0.2">
      <c r="G204"/>
    </row>
    <row r="205" spans="7:7" x14ac:dyDescent="0.2">
      <c r="G205"/>
    </row>
    <row r="206" spans="7:7" x14ac:dyDescent="0.2">
      <c r="G206"/>
    </row>
    <row r="207" spans="7:7" x14ac:dyDescent="0.2">
      <c r="G207"/>
    </row>
    <row r="208" spans="7:7" x14ac:dyDescent="0.2">
      <c r="G208"/>
    </row>
    <row r="209" spans="7:7" x14ac:dyDescent="0.2">
      <c r="G209"/>
    </row>
  </sheetData>
  <mergeCells count="158">
    <mergeCell ref="A1:B5"/>
    <mergeCell ref="C1:P1"/>
    <mergeCell ref="C2:D2"/>
    <mergeCell ref="E2:P2"/>
    <mergeCell ref="C3:D3"/>
    <mergeCell ref="E3:P3"/>
    <mergeCell ref="C4:D4"/>
    <mergeCell ref="E4:P4"/>
    <mergeCell ref="C5:D5"/>
    <mergeCell ref="E5:L5"/>
    <mergeCell ref="Q11:X11"/>
    <mergeCell ref="Q12:X12"/>
    <mergeCell ref="Q13:X13"/>
    <mergeCell ref="Q14:X14"/>
    <mergeCell ref="Q15:X15"/>
    <mergeCell ref="Q16:X16"/>
    <mergeCell ref="A8:K8"/>
    <mergeCell ref="L8:P9"/>
    <mergeCell ref="A9:F9"/>
    <mergeCell ref="G9:K9"/>
    <mergeCell ref="A10:A11"/>
    <mergeCell ref="B10:B11"/>
    <mergeCell ref="C10:C11"/>
    <mergeCell ref="D10:D11"/>
    <mergeCell ref="E10:E11"/>
    <mergeCell ref="F10:F11"/>
    <mergeCell ref="Q23:X23"/>
    <mergeCell ref="Q24:X24"/>
    <mergeCell ref="Q25:X25"/>
    <mergeCell ref="Q26:X26"/>
    <mergeCell ref="Q27:X27"/>
    <mergeCell ref="Q28:X28"/>
    <mergeCell ref="Q17:X17"/>
    <mergeCell ref="Q18:X18"/>
    <mergeCell ref="Q19:X19"/>
    <mergeCell ref="Q20:X20"/>
    <mergeCell ref="Q21:X21"/>
    <mergeCell ref="Q22:X22"/>
    <mergeCell ref="Q35:X35"/>
    <mergeCell ref="Q36:X36"/>
    <mergeCell ref="Q37:X37"/>
    <mergeCell ref="Q38:X38"/>
    <mergeCell ref="Q39:X39"/>
    <mergeCell ref="Q40:X40"/>
    <mergeCell ref="Q29:X29"/>
    <mergeCell ref="Q30:X30"/>
    <mergeCell ref="Q31:X31"/>
    <mergeCell ref="Q32:X32"/>
    <mergeCell ref="Q33:X33"/>
    <mergeCell ref="Q34:X34"/>
    <mergeCell ref="Q47:X47"/>
    <mergeCell ref="Q48:X48"/>
    <mergeCell ref="Q49:X49"/>
    <mergeCell ref="Q50:X50"/>
    <mergeCell ref="Q51:X51"/>
    <mergeCell ref="Q52:X52"/>
    <mergeCell ref="Q41:X41"/>
    <mergeCell ref="Q42:X42"/>
    <mergeCell ref="Q43:X43"/>
    <mergeCell ref="Q44:X44"/>
    <mergeCell ref="Q45:X45"/>
    <mergeCell ref="Q46:X46"/>
    <mergeCell ref="Q59:X59"/>
    <mergeCell ref="Q60:X60"/>
    <mergeCell ref="Q61:X61"/>
    <mergeCell ref="Q62:X62"/>
    <mergeCell ref="Q63:X63"/>
    <mergeCell ref="Q64:X64"/>
    <mergeCell ref="Q53:X53"/>
    <mergeCell ref="Q54:X54"/>
    <mergeCell ref="Q55:X55"/>
    <mergeCell ref="Q56:X56"/>
    <mergeCell ref="Q57:X57"/>
    <mergeCell ref="Q58:X58"/>
    <mergeCell ref="Q71:X71"/>
    <mergeCell ref="Q72:X72"/>
    <mergeCell ref="Q73:X73"/>
    <mergeCell ref="Q74:X74"/>
    <mergeCell ref="Q75:X75"/>
    <mergeCell ref="Q76:X76"/>
    <mergeCell ref="Q65:X65"/>
    <mergeCell ref="Q66:X66"/>
    <mergeCell ref="Q67:X67"/>
    <mergeCell ref="Q68:X68"/>
    <mergeCell ref="Q69:X69"/>
    <mergeCell ref="Q70:X70"/>
    <mergeCell ref="Q83:X83"/>
    <mergeCell ref="Q84:X84"/>
    <mergeCell ref="Q85:X85"/>
    <mergeCell ref="Q86:X86"/>
    <mergeCell ref="Q87:X87"/>
    <mergeCell ref="Q88:X88"/>
    <mergeCell ref="Q77:X77"/>
    <mergeCell ref="Q78:X78"/>
    <mergeCell ref="Q79:X79"/>
    <mergeCell ref="Q80:X80"/>
    <mergeCell ref="Q81:X81"/>
    <mergeCell ref="Q82:X82"/>
    <mergeCell ref="Q95:X95"/>
    <mergeCell ref="Q96:X96"/>
    <mergeCell ref="Q97:X97"/>
    <mergeCell ref="Q98:X98"/>
    <mergeCell ref="Q99:X99"/>
    <mergeCell ref="Q100:X100"/>
    <mergeCell ref="Q89:X89"/>
    <mergeCell ref="Q90:X90"/>
    <mergeCell ref="Q91:X91"/>
    <mergeCell ref="Q92:X92"/>
    <mergeCell ref="Q93:X93"/>
    <mergeCell ref="Q94:X94"/>
    <mergeCell ref="Q107:X107"/>
    <mergeCell ref="Q108:X108"/>
    <mergeCell ref="Q109:X109"/>
    <mergeCell ref="Q110:X110"/>
    <mergeCell ref="Q111:X111"/>
    <mergeCell ref="Q112:X112"/>
    <mergeCell ref="Q101:X101"/>
    <mergeCell ref="Q102:X102"/>
    <mergeCell ref="Q103:X103"/>
    <mergeCell ref="Q104:X104"/>
    <mergeCell ref="Q105:X105"/>
    <mergeCell ref="Q106:X106"/>
    <mergeCell ref="Q119:X119"/>
    <mergeCell ref="Q120:X120"/>
    <mergeCell ref="Q121:X121"/>
    <mergeCell ref="Q122:X122"/>
    <mergeCell ref="Q123:X123"/>
    <mergeCell ref="Q124:X124"/>
    <mergeCell ref="Q113:X113"/>
    <mergeCell ref="Q114:X114"/>
    <mergeCell ref="Q115:X115"/>
    <mergeCell ref="Q116:X116"/>
    <mergeCell ref="Q117:X117"/>
    <mergeCell ref="Q118:X118"/>
    <mergeCell ref="Q131:X131"/>
    <mergeCell ref="Q132:X132"/>
    <mergeCell ref="Q133:X133"/>
    <mergeCell ref="Q134:X134"/>
    <mergeCell ref="Q135:X135"/>
    <mergeCell ref="Q136:X136"/>
    <mergeCell ref="Q125:X125"/>
    <mergeCell ref="Q126:X126"/>
    <mergeCell ref="Q127:X127"/>
    <mergeCell ref="Q128:X128"/>
    <mergeCell ref="Q129:X129"/>
    <mergeCell ref="Q130:X130"/>
    <mergeCell ref="Q143:X143"/>
    <mergeCell ref="Q144:X144"/>
    <mergeCell ref="Q145:X145"/>
    <mergeCell ref="Q146:X146"/>
    <mergeCell ref="A147:P147"/>
    <mergeCell ref="Q147:X147"/>
    <mergeCell ref="Q137:X137"/>
    <mergeCell ref="Q138:X138"/>
    <mergeCell ref="Q139:X139"/>
    <mergeCell ref="Q140:X140"/>
    <mergeCell ref="Q141:X141"/>
    <mergeCell ref="Q142:X142"/>
  </mergeCells>
  <hyperlinks>
    <hyperlink ref="H6" r:id="rId1" xr:uid="{6A7CF179-D585-433C-91B4-3DAAEA4A15DA}"/>
  </hyperlinks>
  <pageMargins left="0.41" right="0.48" top="0.65" bottom="0.51" header="0.4" footer="0.2"/>
  <pageSetup paperSize="3" scale="91" fitToHeight="0"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11"/>
  <sheetViews>
    <sheetView tabSelected="1" zoomScale="85" zoomScaleNormal="85" zoomScaleSheetLayoutView="100" workbookViewId="0">
      <pane ySplit="11" topLeftCell="A12" activePane="bottomLeft" state="frozen"/>
      <selection pane="bottomLeft" activeCell="S54" sqref="S54"/>
    </sheetView>
  </sheetViews>
  <sheetFormatPr defaultRowHeight="12.75" x14ac:dyDescent="0.2"/>
  <cols>
    <col min="1" max="1" width="9.28515625" bestFit="1" customWidth="1"/>
    <col min="2" max="2" width="8.28515625" bestFit="1" customWidth="1"/>
    <col min="3" max="3" width="9.28515625" bestFit="1" customWidth="1"/>
    <col min="4" max="5" width="10.28515625" customWidth="1"/>
    <col min="6" max="6" width="12.5703125" bestFit="1" customWidth="1"/>
    <col min="7" max="7" width="13.85546875" customWidth="1"/>
    <col min="8" max="8" width="10.7109375" customWidth="1"/>
    <col min="9" max="9" width="13.7109375" customWidth="1"/>
    <col min="10" max="10" width="11.28515625" customWidth="1"/>
    <col min="11" max="11" width="10.7109375" customWidth="1"/>
    <col min="12" max="12" width="8.7109375" customWidth="1"/>
    <col min="13" max="14" width="9.7109375" customWidth="1"/>
    <col min="15" max="15" width="8.7109375" customWidth="1"/>
    <col min="16" max="17" width="10.7109375" customWidth="1"/>
    <col min="18" max="18" width="8.7109375" customWidth="1"/>
    <col min="19" max="19" width="98.5703125" customWidth="1"/>
    <col min="21" max="21" width="2.7109375" customWidth="1"/>
    <col min="22" max="22" width="12.28515625" customWidth="1"/>
    <col min="23" max="23" width="2.85546875" customWidth="1"/>
  </cols>
  <sheetData>
    <row r="1" spans="1:23" s="1" customFormat="1" ht="27" thickBot="1" x14ac:dyDescent="0.25">
      <c r="A1" s="376"/>
      <c r="B1" s="377"/>
      <c r="C1" s="378"/>
      <c r="D1" s="388" t="s">
        <v>76</v>
      </c>
      <c r="E1" s="389"/>
      <c r="F1" s="389"/>
      <c r="G1" s="389"/>
      <c r="H1" s="389"/>
      <c r="I1" s="389"/>
      <c r="J1" s="389"/>
      <c r="K1" s="389"/>
      <c r="L1" s="389"/>
      <c r="M1" s="389"/>
      <c r="N1" s="389"/>
      <c r="O1" s="389"/>
      <c r="P1" s="389"/>
      <c r="Q1" s="389"/>
      <c r="R1" s="389"/>
      <c r="S1" s="390"/>
    </row>
    <row r="2" spans="1:23" s="2" customFormat="1" ht="15.75" x14ac:dyDescent="0.25">
      <c r="A2" s="379"/>
      <c r="B2" s="380"/>
      <c r="C2" s="381"/>
      <c r="D2" s="400" t="s">
        <v>7</v>
      </c>
      <c r="E2" s="401"/>
      <c r="F2" s="391" t="s">
        <v>117</v>
      </c>
      <c r="G2" s="392"/>
      <c r="H2" s="392"/>
      <c r="I2" s="392"/>
      <c r="J2" s="392"/>
      <c r="K2" s="392"/>
      <c r="L2" s="392"/>
      <c r="M2" s="392"/>
      <c r="N2" s="392"/>
      <c r="O2" s="392"/>
      <c r="P2" s="392"/>
      <c r="Q2" s="392"/>
      <c r="R2" s="392"/>
      <c r="S2" s="393"/>
    </row>
    <row r="3" spans="1:23" ht="15.75" x14ac:dyDescent="0.2">
      <c r="A3" s="379"/>
      <c r="B3" s="380"/>
      <c r="C3" s="381"/>
      <c r="D3" s="224" t="s">
        <v>8</v>
      </c>
      <c r="E3" s="272"/>
      <c r="F3" s="394" t="s">
        <v>83</v>
      </c>
      <c r="G3" s="395"/>
      <c r="H3" s="395"/>
      <c r="I3" s="395"/>
      <c r="J3" s="395"/>
      <c r="K3" s="395"/>
      <c r="L3" s="395"/>
      <c r="M3" s="395"/>
      <c r="N3" s="395"/>
      <c r="O3" s="395"/>
      <c r="P3" s="395"/>
      <c r="Q3" s="395"/>
      <c r="R3" s="395"/>
      <c r="S3" s="396"/>
    </row>
    <row r="4" spans="1:23" ht="16.5" thickBot="1" x14ac:dyDescent="0.25">
      <c r="A4" s="382"/>
      <c r="B4" s="383"/>
      <c r="C4" s="384"/>
      <c r="D4" s="229" t="s">
        <v>19</v>
      </c>
      <c r="E4" s="276"/>
      <c r="F4" s="397" t="s">
        <v>118</v>
      </c>
      <c r="G4" s="398"/>
      <c r="H4" s="398"/>
      <c r="I4" s="398"/>
      <c r="J4" s="398"/>
      <c r="K4" s="398"/>
      <c r="L4" s="398"/>
      <c r="M4" s="398"/>
      <c r="N4" s="398"/>
      <c r="O4" s="398"/>
      <c r="P4" s="398"/>
      <c r="Q4" s="398"/>
      <c r="R4" s="398"/>
      <c r="S4" s="399"/>
    </row>
    <row r="5" spans="1:23" ht="15.75" x14ac:dyDescent="0.2">
      <c r="A5" s="35" t="s">
        <v>71</v>
      </c>
      <c r="B5" s="34"/>
      <c r="C5" s="34"/>
      <c r="D5" s="32"/>
      <c r="E5" s="32"/>
      <c r="F5" s="33"/>
      <c r="G5" s="33"/>
      <c r="H5" s="33"/>
      <c r="I5" s="33"/>
      <c r="J5" s="36" t="s">
        <v>72</v>
      </c>
      <c r="K5" s="33"/>
      <c r="L5" s="33"/>
      <c r="M5" s="33"/>
      <c r="N5" s="33"/>
      <c r="O5" s="33"/>
      <c r="P5" s="33"/>
      <c r="Q5" s="33"/>
      <c r="R5" s="33"/>
      <c r="S5" s="33"/>
    </row>
    <row r="6" spans="1:23" x14ac:dyDescent="0.2">
      <c r="A6" s="31"/>
      <c r="B6" s="31"/>
      <c r="C6" s="31"/>
      <c r="D6" s="31"/>
      <c r="E6" s="31"/>
      <c r="F6" s="31"/>
      <c r="G6" s="31"/>
      <c r="H6" s="31"/>
      <c r="I6" s="31"/>
      <c r="J6" s="31"/>
      <c r="K6" s="31"/>
      <c r="L6" s="31"/>
      <c r="M6" s="31"/>
      <c r="N6" s="31"/>
      <c r="O6" s="31"/>
      <c r="P6" s="31"/>
      <c r="Q6" s="31"/>
      <c r="R6" s="31"/>
      <c r="S6" s="31"/>
    </row>
    <row r="7" spans="1:23" ht="15.75" customHeight="1" x14ac:dyDescent="0.25">
      <c r="A7" s="385" t="s">
        <v>9</v>
      </c>
      <c r="B7" s="385"/>
      <c r="C7" s="385"/>
      <c r="D7" s="386" t="s">
        <v>112</v>
      </c>
      <c r="E7" s="386"/>
      <c r="F7" s="386"/>
      <c r="G7" s="386"/>
      <c r="H7" s="386"/>
      <c r="I7" s="386"/>
      <c r="J7" s="386"/>
      <c r="K7" s="31"/>
      <c r="O7" s="32" t="s">
        <v>5</v>
      </c>
      <c r="P7" s="38">
        <v>1</v>
      </c>
      <c r="Q7" s="39" t="s">
        <v>6</v>
      </c>
      <c r="R7" s="38">
        <v>1</v>
      </c>
      <c r="S7" s="31"/>
    </row>
    <row r="8" spans="1:23" ht="15.75" x14ac:dyDescent="0.25">
      <c r="A8" s="385" t="s">
        <v>11</v>
      </c>
      <c r="B8" s="385"/>
      <c r="C8" s="385"/>
      <c r="D8" s="387" t="s">
        <v>113</v>
      </c>
      <c r="E8" s="387"/>
      <c r="F8" s="387"/>
      <c r="G8" s="387"/>
      <c r="H8" s="387"/>
      <c r="I8" s="387"/>
      <c r="J8" s="387"/>
      <c r="K8" s="31"/>
      <c r="O8" s="32" t="s">
        <v>10</v>
      </c>
      <c r="P8" s="371"/>
      <c r="Q8" s="372"/>
      <c r="R8" s="372"/>
      <c r="S8" s="31"/>
    </row>
    <row r="9" spans="1:23" ht="13.5" thickBot="1" x14ac:dyDescent="0.25">
      <c r="A9" s="40"/>
      <c r="B9" s="40"/>
      <c r="C9" s="40"/>
      <c r="D9" s="40"/>
      <c r="E9" s="40"/>
      <c r="F9" s="40"/>
      <c r="G9" s="40"/>
      <c r="H9" s="40"/>
      <c r="I9" s="40"/>
      <c r="J9" s="40"/>
      <c r="K9" s="40"/>
      <c r="L9" s="40"/>
      <c r="M9" s="40"/>
      <c r="N9" s="40"/>
      <c r="O9" s="40"/>
      <c r="P9" s="40"/>
      <c r="Q9" s="40"/>
      <c r="R9" s="40"/>
      <c r="S9" s="31"/>
    </row>
    <row r="10" spans="1:23" ht="15.95" customHeight="1" thickBot="1" x14ac:dyDescent="0.25">
      <c r="A10" s="41" t="s">
        <v>0</v>
      </c>
      <c r="B10" s="42" t="s">
        <v>20</v>
      </c>
      <c r="C10" s="42" t="s">
        <v>3</v>
      </c>
      <c r="D10" s="237" t="s">
        <v>14</v>
      </c>
      <c r="E10" s="359"/>
      <c r="F10" s="359"/>
      <c r="G10" s="367" t="s">
        <v>15</v>
      </c>
      <c r="H10" s="368"/>
      <c r="I10" s="369"/>
      <c r="J10" s="360" t="s">
        <v>18</v>
      </c>
      <c r="K10" s="361"/>
      <c r="L10" s="362"/>
      <c r="M10" s="237" t="s">
        <v>12</v>
      </c>
      <c r="N10" s="359"/>
      <c r="O10" s="238"/>
      <c r="P10" s="375" t="s">
        <v>70</v>
      </c>
      <c r="Q10" s="368"/>
      <c r="R10" s="369"/>
      <c r="S10" s="373" t="s">
        <v>22</v>
      </c>
    </row>
    <row r="11" spans="1:23" ht="13.5" thickBot="1" x14ac:dyDescent="0.25">
      <c r="A11" s="85" t="s">
        <v>1</v>
      </c>
      <c r="B11" s="105" t="s">
        <v>21</v>
      </c>
      <c r="C11" s="105" t="s">
        <v>13</v>
      </c>
      <c r="D11" s="41" t="s">
        <v>4</v>
      </c>
      <c r="E11" s="103" t="s">
        <v>2</v>
      </c>
      <c r="F11" s="103" t="s">
        <v>16</v>
      </c>
      <c r="G11" s="41" t="s">
        <v>4</v>
      </c>
      <c r="H11" s="103" t="s">
        <v>2</v>
      </c>
      <c r="I11" s="104" t="s">
        <v>16</v>
      </c>
      <c r="J11" s="115" t="s">
        <v>4</v>
      </c>
      <c r="K11" s="103" t="s">
        <v>2</v>
      </c>
      <c r="L11" s="104" t="s">
        <v>75</v>
      </c>
      <c r="M11" s="115" t="s">
        <v>4</v>
      </c>
      <c r="N11" s="103" t="s">
        <v>2</v>
      </c>
      <c r="O11" s="104" t="s">
        <v>75</v>
      </c>
      <c r="P11" s="115" t="s">
        <v>4</v>
      </c>
      <c r="Q11" s="103" t="s">
        <v>2</v>
      </c>
      <c r="R11" s="104" t="s">
        <v>75</v>
      </c>
      <c r="S11" s="374"/>
    </row>
    <row r="12" spans="1:23" ht="51.75" customHeight="1" x14ac:dyDescent="0.2">
      <c r="A12" s="107"/>
      <c r="B12" s="108"/>
      <c r="C12" s="116">
        <v>31788.48</v>
      </c>
      <c r="D12" s="87">
        <v>1380</v>
      </c>
      <c r="E12" s="88">
        <v>1218.936005</v>
      </c>
      <c r="F12" s="89">
        <f>ABS(1-(E12/D12))</f>
        <v>0.11671303985507242</v>
      </c>
      <c r="G12" s="45">
        <f t="shared" ref="G12:G75" si="0">G13+D12</f>
        <v>31720.350000000017</v>
      </c>
      <c r="H12" s="135">
        <f t="shared" ref="H12:H75" si="1">H13+E12</f>
        <v>31559.345140304013</v>
      </c>
      <c r="I12" s="89">
        <f>ABS(1-(H12/G12))</f>
        <v>5.0757592427574938E-3</v>
      </c>
      <c r="J12" s="219">
        <v>711.87</v>
      </c>
      <c r="K12" s="88">
        <v>1072.48</v>
      </c>
      <c r="L12" s="90">
        <f t="shared" ref="L12:L29" si="2">ABS(K12-J12)</f>
        <v>360.61</v>
      </c>
      <c r="M12" s="87">
        <v>257.95999999999998</v>
      </c>
      <c r="N12" s="88">
        <v>257.24089700000002</v>
      </c>
      <c r="O12" s="90">
        <f t="shared" ref="O12:O24" si="3">ABS(N12-M12)</f>
        <v>0.71910299999996141</v>
      </c>
      <c r="P12" s="87">
        <v>933.57</v>
      </c>
      <c r="Q12" s="88">
        <v>1083.141946</v>
      </c>
      <c r="R12" s="90">
        <f t="shared" ref="R12:R43" si="4">ABS(Q12-P12)</f>
        <v>149.57194599999991</v>
      </c>
      <c r="S12" s="119" t="s">
        <v>125</v>
      </c>
      <c r="T12" s="370"/>
      <c r="U12" s="217"/>
      <c r="V12" s="217"/>
      <c r="W12" s="217"/>
    </row>
    <row r="13" spans="1:23" x14ac:dyDescent="0.2">
      <c r="A13" s="22"/>
      <c r="B13" s="106"/>
      <c r="C13" s="117">
        <v>30408.48</v>
      </c>
      <c r="D13" s="45">
        <v>108.2</v>
      </c>
      <c r="E13" s="46">
        <v>108.245311458071</v>
      </c>
      <c r="F13" s="47">
        <f t="shared" ref="F13:F76" si="5">ABS(1-(E13/D13))</f>
        <v>4.1877502838261194E-4</v>
      </c>
      <c r="G13" s="45">
        <f t="shared" si="0"/>
        <v>30340.350000000017</v>
      </c>
      <c r="H13" s="46">
        <f t="shared" si="1"/>
        <v>30340.409135304013</v>
      </c>
      <c r="I13" s="47">
        <f t="shared" ref="I13:I75" si="6">ABS(1-(H13/G13))</f>
        <v>1.9490646612219109E-6</v>
      </c>
      <c r="J13" s="113">
        <v>273.13</v>
      </c>
      <c r="K13" s="46">
        <v>690.48844599999995</v>
      </c>
      <c r="L13" s="109">
        <f t="shared" si="2"/>
        <v>417.35844599999996</v>
      </c>
      <c r="M13" s="45">
        <v>227.54</v>
      </c>
      <c r="N13" s="46">
        <v>213</v>
      </c>
      <c r="O13" s="109">
        <f t="shared" si="3"/>
        <v>14.539999999999992</v>
      </c>
      <c r="P13" s="45">
        <v>292.12</v>
      </c>
      <c r="Q13" s="46">
        <v>720.38922400000001</v>
      </c>
      <c r="R13" s="109">
        <f t="shared" si="4"/>
        <v>428.26922400000001</v>
      </c>
      <c r="S13" s="50" t="s">
        <v>126</v>
      </c>
      <c r="T13" s="370"/>
      <c r="U13" s="217"/>
      <c r="V13" s="217"/>
      <c r="W13" s="217"/>
    </row>
    <row r="14" spans="1:23" x14ac:dyDescent="0.2">
      <c r="A14" s="22"/>
      <c r="B14" s="106"/>
      <c r="C14" s="117">
        <v>30300.28</v>
      </c>
      <c r="D14" s="45">
        <v>32.5</v>
      </c>
      <c r="E14" s="46">
        <v>32.5</v>
      </c>
      <c r="F14" s="47">
        <f t="shared" si="5"/>
        <v>0</v>
      </c>
      <c r="G14" s="45">
        <f t="shared" si="0"/>
        <v>30232.150000000016</v>
      </c>
      <c r="H14" s="46">
        <f t="shared" si="1"/>
        <v>30232.163823845942</v>
      </c>
      <c r="I14" s="47">
        <f t="shared" si="6"/>
        <v>4.5725646136141052E-7</v>
      </c>
      <c r="J14" s="113">
        <v>805.33</v>
      </c>
      <c r="K14" s="46">
        <v>748.96985299999994</v>
      </c>
      <c r="L14" s="109">
        <f t="shared" si="2"/>
        <v>56.360147000000097</v>
      </c>
      <c r="M14" s="45">
        <v>133.30000000000001</v>
      </c>
      <c r="N14" s="46">
        <v>129</v>
      </c>
      <c r="O14" s="109">
        <f t="shared" si="3"/>
        <v>4.3000000000000114</v>
      </c>
      <c r="P14" s="45">
        <v>1161.79</v>
      </c>
      <c r="Q14" s="46">
        <v>1082.6234589999999</v>
      </c>
      <c r="R14" s="109">
        <f t="shared" si="4"/>
        <v>79.166541000000052</v>
      </c>
      <c r="S14" s="50" t="s">
        <v>126</v>
      </c>
      <c r="T14" s="370"/>
      <c r="U14" s="217"/>
      <c r="V14" s="217"/>
      <c r="W14" s="217"/>
    </row>
    <row r="15" spans="1:23" x14ac:dyDescent="0.2">
      <c r="A15" s="22"/>
      <c r="B15" s="106"/>
      <c r="C15" s="117">
        <v>30199.68</v>
      </c>
      <c r="D15" s="45">
        <v>38.200000000000003</v>
      </c>
      <c r="E15" s="46">
        <v>38.216437451453899</v>
      </c>
      <c r="F15" s="47">
        <f t="shared" si="5"/>
        <v>4.3029977627995208E-4</v>
      </c>
      <c r="G15" s="45">
        <f t="shared" si="0"/>
        <v>30199.650000000016</v>
      </c>
      <c r="H15" s="46">
        <f t="shared" si="1"/>
        <v>30199.663823845942</v>
      </c>
      <c r="I15" s="47">
        <f t="shared" si="6"/>
        <v>4.5774854751101657E-7</v>
      </c>
      <c r="J15" s="113">
        <v>224.64</v>
      </c>
      <c r="K15" s="46">
        <v>227.26</v>
      </c>
      <c r="L15" s="109">
        <f t="shared" si="2"/>
        <v>2.6200000000000045</v>
      </c>
      <c r="M15" s="45">
        <v>99</v>
      </c>
      <c r="N15" s="46">
        <v>99</v>
      </c>
      <c r="O15" s="109">
        <f t="shared" si="3"/>
        <v>0</v>
      </c>
      <c r="P15" s="45">
        <v>236.41</v>
      </c>
      <c r="Q15" s="46">
        <v>239.65</v>
      </c>
      <c r="R15" s="109">
        <f t="shared" si="4"/>
        <v>3.2400000000000091</v>
      </c>
      <c r="S15" s="50" t="s">
        <v>105</v>
      </c>
      <c r="T15" s="370"/>
      <c r="U15" s="217"/>
      <c r="V15" s="217"/>
      <c r="W15" s="217"/>
    </row>
    <row r="16" spans="1:23" x14ac:dyDescent="0.2">
      <c r="A16" s="22"/>
      <c r="B16" s="106"/>
      <c r="C16" s="117">
        <v>30161.48</v>
      </c>
      <c r="D16" s="45">
        <v>126.9</v>
      </c>
      <c r="E16" s="46">
        <v>126.868013340432</v>
      </c>
      <c r="F16" s="47">
        <f t="shared" si="5"/>
        <v>2.5206193513005459E-4</v>
      </c>
      <c r="G16" s="45">
        <f t="shared" si="0"/>
        <v>30161.450000000015</v>
      </c>
      <c r="H16" s="46">
        <f t="shared" si="1"/>
        <v>30161.447386394488</v>
      </c>
      <c r="I16" s="47">
        <f t="shared" si="6"/>
        <v>8.665384221284711E-8</v>
      </c>
      <c r="J16" s="113">
        <v>204.17</v>
      </c>
      <c r="K16" s="46">
        <v>213.36</v>
      </c>
      <c r="L16" s="109">
        <f t="shared" si="2"/>
        <v>9.1900000000000261</v>
      </c>
      <c r="M16" s="45">
        <v>144</v>
      </c>
      <c r="N16" s="46">
        <v>144</v>
      </c>
      <c r="O16" s="109">
        <f t="shared" si="3"/>
        <v>0</v>
      </c>
      <c r="P16" s="45">
        <v>227.66</v>
      </c>
      <c r="Q16" s="46">
        <v>223.12</v>
      </c>
      <c r="R16" s="109">
        <f t="shared" si="4"/>
        <v>4.539999999999992</v>
      </c>
      <c r="S16" s="50"/>
      <c r="T16" s="370"/>
      <c r="U16" s="217"/>
      <c r="V16" s="217"/>
      <c r="W16" s="217"/>
    </row>
    <row r="17" spans="1:23" x14ac:dyDescent="0.2">
      <c r="A17" s="22"/>
      <c r="B17" s="106"/>
      <c r="C17" s="117">
        <v>30034.58</v>
      </c>
      <c r="D17" s="45">
        <v>153.9</v>
      </c>
      <c r="E17" s="48">
        <v>153.91573404744901</v>
      </c>
      <c r="F17" s="47">
        <f t="shared" si="5"/>
        <v>1.0223552598431773E-4</v>
      </c>
      <c r="G17" s="45">
        <f t="shared" si="0"/>
        <v>30034.550000000014</v>
      </c>
      <c r="H17" s="46">
        <f t="shared" si="1"/>
        <v>30034.579373054057</v>
      </c>
      <c r="I17" s="47">
        <f t="shared" si="6"/>
        <v>9.7797549969413922E-7</v>
      </c>
      <c r="J17" s="113">
        <v>243.7</v>
      </c>
      <c r="K17" s="46">
        <v>243.91</v>
      </c>
      <c r="L17" s="109">
        <f t="shared" si="2"/>
        <v>0.21000000000000796</v>
      </c>
      <c r="M17" s="45">
        <v>243.69</v>
      </c>
      <c r="N17" s="46">
        <v>243.91</v>
      </c>
      <c r="O17" s="109">
        <f t="shared" si="3"/>
        <v>0.21999999999999886</v>
      </c>
      <c r="P17" s="45">
        <v>246.85</v>
      </c>
      <c r="Q17" s="46">
        <v>247.32</v>
      </c>
      <c r="R17" s="109">
        <f t="shared" si="4"/>
        <v>0.46999999999999886</v>
      </c>
      <c r="S17" s="50"/>
      <c r="T17" s="363"/>
      <c r="U17" s="217"/>
      <c r="V17" s="217"/>
      <c r="W17" s="217"/>
    </row>
    <row r="18" spans="1:23" x14ac:dyDescent="0.2">
      <c r="A18" s="22"/>
      <c r="B18" s="106"/>
      <c r="C18" s="117">
        <v>29880.68</v>
      </c>
      <c r="D18" s="45">
        <v>185.3</v>
      </c>
      <c r="E18" s="46">
        <v>185.29650878482201</v>
      </c>
      <c r="F18" s="47">
        <f t="shared" si="5"/>
        <v>1.884088061521183E-5</v>
      </c>
      <c r="G18" s="45">
        <f t="shared" si="0"/>
        <v>29880.650000000012</v>
      </c>
      <c r="H18" s="46">
        <f t="shared" si="1"/>
        <v>29880.663639006609</v>
      </c>
      <c r="I18" s="47">
        <f t="shared" si="6"/>
        <v>4.5644946133904796E-7</v>
      </c>
      <c r="J18" s="113">
        <v>248.16</v>
      </c>
      <c r="K18" s="46">
        <v>247.71</v>
      </c>
      <c r="L18" s="109">
        <f t="shared" si="2"/>
        <v>0.44999999999998863</v>
      </c>
      <c r="M18" s="45">
        <v>248.13</v>
      </c>
      <c r="N18" s="46">
        <v>247.71</v>
      </c>
      <c r="O18" s="109">
        <f t="shared" si="3"/>
        <v>0.41999999999998749</v>
      </c>
      <c r="P18" s="45">
        <v>251.35</v>
      </c>
      <c r="Q18" s="46">
        <v>251.53</v>
      </c>
      <c r="R18" s="109">
        <f t="shared" si="4"/>
        <v>0.18000000000000682</v>
      </c>
      <c r="S18" s="50"/>
      <c r="T18" s="363"/>
      <c r="U18" s="217"/>
      <c r="V18" s="217"/>
      <c r="W18" s="217"/>
    </row>
    <row r="19" spans="1:23" x14ac:dyDescent="0.2">
      <c r="A19" s="22"/>
      <c r="B19" s="106"/>
      <c r="C19" s="117">
        <v>29695.38</v>
      </c>
      <c r="D19" s="45">
        <v>42.1</v>
      </c>
      <c r="E19" s="46">
        <v>42.133094094224099</v>
      </c>
      <c r="F19" s="47">
        <f t="shared" si="5"/>
        <v>7.8608299819715732E-4</v>
      </c>
      <c r="G19" s="45">
        <f t="shared" si="0"/>
        <v>29695.350000000013</v>
      </c>
      <c r="H19" s="46">
        <f t="shared" si="1"/>
        <v>29695.367130221788</v>
      </c>
      <c r="I19" s="47">
        <f t="shared" si="6"/>
        <v>5.7686546117707849E-7</v>
      </c>
      <c r="J19" s="113">
        <v>241.14</v>
      </c>
      <c r="K19" s="46">
        <v>241.72</v>
      </c>
      <c r="L19" s="109">
        <f t="shared" si="2"/>
        <v>0.58000000000001251</v>
      </c>
      <c r="M19" s="45">
        <v>239.2</v>
      </c>
      <c r="N19" s="46">
        <v>241.72</v>
      </c>
      <c r="O19" s="109">
        <f t="shared" si="3"/>
        <v>2.5200000000000102</v>
      </c>
      <c r="P19" s="45">
        <v>243.2</v>
      </c>
      <c r="Q19" s="46">
        <v>243.39</v>
      </c>
      <c r="R19" s="109">
        <f t="shared" si="4"/>
        <v>0.18999999999999773</v>
      </c>
      <c r="S19" s="50"/>
      <c r="T19" s="363"/>
      <c r="U19" s="217"/>
      <c r="V19" s="217"/>
      <c r="W19" s="217"/>
    </row>
    <row r="20" spans="1:23" x14ac:dyDescent="0.2">
      <c r="A20" s="22"/>
      <c r="B20" s="106"/>
      <c r="C20" s="117">
        <v>29653.279999999999</v>
      </c>
      <c r="D20" s="45">
        <v>118.7</v>
      </c>
      <c r="E20" s="46">
        <v>118.717687651189</v>
      </c>
      <c r="F20" s="47">
        <f t="shared" si="5"/>
        <v>1.4901138322653829E-4</v>
      </c>
      <c r="G20" s="45">
        <f t="shared" si="0"/>
        <v>29653.250000000015</v>
      </c>
      <c r="H20" s="46">
        <f t="shared" si="1"/>
        <v>29653.234036127564</v>
      </c>
      <c r="I20" s="47">
        <f t="shared" si="6"/>
        <v>5.3835152813430653E-7</v>
      </c>
      <c r="J20" s="113">
        <v>231.78</v>
      </c>
      <c r="K20" s="46">
        <v>231.86</v>
      </c>
      <c r="L20" s="109">
        <f t="shared" si="2"/>
        <v>8.0000000000012506E-2</v>
      </c>
      <c r="M20" s="45">
        <v>229.99</v>
      </c>
      <c r="N20" s="46">
        <v>231.86</v>
      </c>
      <c r="O20" s="109">
        <f t="shared" si="3"/>
        <v>1.8700000000000045</v>
      </c>
      <c r="P20" s="45">
        <v>234.35</v>
      </c>
      <c r="Q20" s="46">
        <v>234.54</v>
      </c>
      <c r="R20" s="109">
        <f t="shared" si="4"/>
        <v>0.18999999999999773</v>
      </c>
      <c r="S20" s="50"/>
      <c r="T20" s="363"/>
      <c r="U20" s="217"/>
      <c r="V20" s="217"/>
      <c r="W20" s="217"/>
    </row>
    <row r="21" spans="1:23" x14ac:dyDescent="0.2">
      <c r="A21" s="22"/>
      <c r="B21" s="106"/>
      <c r="C21" s="117">
        <v>29534.58</v>
      </c>
      <c r="D21" s="45">
        <v>119</v>
      </c>
      <c r="E21" s="46">
        <v>119.02279399302699</v>
      </c>
      <c r="F21" s="47">
        <f t="shared" si="5"/>
        <v>1.9154615989069868E-4</v>
      </c>
      <c r="G21" s="45">
        <f t="shared" si="0"/>
        <v>29534.550000000014</v>
      </c>
      <c r="H21" s="46">
        <f t="shared" si="1"/>
        <v>29534.516348476376</v>
      </c>
      <c r="I21" s="47">
        <f t="shared" si="6"/>
        <v>1.1393951706573091E-6</v>
      </c>
      <c r="J21" s="113">
        <v>246.4</v>
      </c>
      <c r="K21" s="46">
        <v>245.93</v>
      </c>
      <c r="L21" s="109">
        <f t="shared" si="2"/>
        <v>0.46999999999999886</v>
      </c>
      <c r="M21" s="45">
        <v>246.4</v>
      </c>
      <c r="N21" s="46">
        <v>245.93</v>
      </c>
      <c r="O21" s="109">
        <f t="shared" si="3"/>
        <v>0.46999999999999886</v>
      </c>
      <c r="P21" s="45">
        <v>249.42</v>
      </c>
      <c r="Q21" s="46">
        <v>248.32</v>
      </c>
      <c r="R21" s="109">
        <f t="shared" si="4"/>
        <v>1.0999999999999943</v>
      </c>
      <c r="S21" s="50"/>
      <c r="T21" s="363"/>
      <c r="U21" s="217"/>
      <c r="V21" s="217"/>
      <c r="W21" s="217"/>
    </row>
    <row r="22" spans="1:23" x14ac:dyDescent="0.2">
      <c r="A22" s="22"/>
      <c r="B22" s="106"/>
      <c r="C22" s="117">
        <v>29415.58</v>
      </c>
      <c r="D22" s="45">
        <v>43.3</v>
      </c>
      <c r="E22" s="46">
        <v>43.285493027308597</v>
      </c>
      <c r="F22" s="47">
        <f t="shared" si="5"/>
        <v>3.3503401134871158E-4</v>
      </c>
      <c r="G22" s="45">
        <f t="shared" si="0"/>
        <v>29415.550000000014</v>
      </c>
      <c r="H22" s="46">
        <f t="shared" si="1"/>
        <v>29415.49355448335</v>
      </c>
      <c r="I22" s="47">
        <f t="shared" si="6"/>
        <v>1.9189006040809531E-6</v>
      </c>
      <c r="J22" s="113">
        <v>243.17</v>
      </c>
      <c r="K22" s="46">
        <v>243.29</v>
      </c>
      <c r="L22" s="109">
        <f t="shared" si="2"/>
        <v>0.12000000000000455</v>
      </c>
      <c r="M22" s="45">
        <v>235</v>
      </c>
      <c r="N22" s="46">
        <v>243.29</v>
      </c>
      <c r="O22" s="109">
        <f t="shared" si="3"/>
        <v>8.289999999999992</v>
      </c>
      <c r="P22" s="45">
        <v>245.5</v>
      </c>
      <c r="Q22" s="46">
        <v>245.22</v>
      </c>
      <c r="R22" s="109">
        <f t="shared" si="4"/>
        <v>0.28000000000000114</v>
      </c>
      <c r="S22" s="50"/>
      <c r="T22" s="363"/>
      <c r="U22" s="217"/>
      <c r="V22" s="217"/>
      <c r="W22" s="217"/>
    </row>
    <row r="23" spans="1:23" x14ac:dyDescent="0.2">
      <c r="A23" s="22"/>
      <c r="B23" s="106"/>
      <c r="C23" s="117">
        <v>29372.28</v>
      </c>
      <c r="D23" s="45">
        <v>176.2</v>
      </c>
      <c r="E23" s="46">
        <v>176.15728160443001</v>
      </c>
      <c r="F23" s="47">
        <f t="shared" si="5"/>
        <v>2.4244265363215778E-4</v>
      </c>
      <c r="G23" s="45">
        <f t="shared" si="0"/>
        <v>29372.250000000015</v>
      </c>
      <c r="H23" s="46">
        <f t="shared" si="1"/>
        <v>29372.20806145604</v>
      </c>
      <c r="I23" s="47">
        <f t="shared" si="6"/>
        <v>1.4278287830959968E-6</v>
      </c>
      <c r="J23" s="113">
        <v>226.17</v>
      </c>
      <c r="K23" s="46">
        <v>224.31</v>
      </c>
      <c r="L23" s="109">
        <f t="shared" si="2"/>
        <v>1.8599999999999852</v>
      </c>
      <c r="M23" s="45">
        <v>219</v>
      </c>
      <c r="N23" s="46">
        <v>224.31</v>
      </c>
      <c r="O23" s="109">
        <f t="shared" si="3"/>
        <v>5.3100000000000023</v>
      </c>
      <c r="P23" s="45">
        <v>230.49</v>
      </c>
      <c r="Q23" s="46">
        <v>230.59</v>
      </c>
      <c r="R23" s="109">
        <f t="shared" si="4"/>
        <v>9.9999999999994316E-2</v>
      </c>
      <c r="S23" s="50"/>
      <c r="T23" s="363"/>
      <c r="U23" s="217"/>
      <c r="V23" s="217"/>
      <c r="W23" s="217"/>
    </row>
    <row r="24" spans="1:23" x14ac:dyDescent="0.2">
      <c r="A24" s="22"/>
      <c r="B24" s="106"/>
      <c r="C24" s="117">
        <v>29196.080000000002</v>
      </c>
      <c r="D24" s="45">
        <v>235.1</v>
      </c>
      <c r="E24" s="46">
        <v>235.05374569655999</v>
      </c>
      <c r="F24" s="47">
        <f t="shared" si="5"/>
        <v>1.967431026796973E-4</v>
      </c>
      <c r="G24" s="45">
        <f t="shared" si="0"/>
        <v>29196.050000000014</v>
      </c>
      <c r="H24" s="46">
        <f t="shared" si="1"/>
        <v>29196.050779851608</v>
      </c>
      <c r="I24" s="47">
        <f t="shared" si="6"/>
        <v>2.671085974625953E-8</v>
      </c>
      <c r="J24" s="113">
        <v>250.77</v>
      </c>
      <c r="K24" s="46">
        <v>251</v>
      </c>
      <c r="L24" s="109">
        <f t="shared" si="2"/>
        <v>0.22999999999998977</v>
      </c>
      <c r="M24" s="45">
        <v>250.77</v>
      </c>
      <c r="N24" s="46">
        <v>251</v>
      </c>
      <c r="O24" s="109">
        <f t="shared" si="3"/>
        <v>0.22999999999998977</v>
      </c>
      <c r="P24" s="45">
        <v>253.84</v>
      </c>
      <c r="Q24" s="46">
        <v>254.1</v>
      </c>
      <c r="R24" s="109">
        <f t="shared" si="4"/>
        <v>0.25999999999999091</v>
      </c>
      <c r="S24" s="114"/>
      <c r="T24" s="363"/>
      <c r="U24" s="217"/>
      <c r="V24" s="217"/>
      <c r="W24" s="217"/>
    </row>
    <row r="25" spans="1:23" x14ac:dyDescent="0.2">
      <c r="A25" s="22"/>
      <c r="B25" s="106"/>
      <c r="C25" s="117">
        <v>28960.98</v>
      </c>
      <c r="D25" s="45">
        <v>38.700000000000003</v>
      </c>
      <c r="E25" s="46">
        <v>38.727107489742401</v>
      </c>
      <c r="F25" s="47">
        <f t="shared" si="5"/>
        <v>7.0045193132806105E-4</v>
      </c>
      <c r="G25" s="45">
        <f t="shared" si="0"/>
        <v>28960.950000000015</v>
      </c>
      <c r="H25" s="46">
        <f t="shared" si="1"/>
        <v>28960.997034155047</v>
      </c>
      <c r="I25" s="47">
        <f t="shared" si="6"/>
        <v>1.6240542879408792E-6</v>
      </c>
      <c r="J25" s="113">
        <v>246</v>
      </c>
      <c r="K25" s="46">
        <v>246.11</v>
      </c>
      <c r="L25" s="109">
        <f t="shared" si="2"/>
        <v>0.11000000000001364</v>
      </c>
      <c r="M25" s="45">
        <v>234</v>
      </c>
      <c r="N25" s="46">
        <v>246.11</v>
      </c>
      <c r="O25" s="109">
        <f t="shared" ref="O25:O105" si="7">ABS(N25-M25)</f>
        <v>12.110000000000014</v>
      </c>
      <c r="P25" s="45">
        <v>248.34</v>
      </c>
      <c r="Q25" s="46">
        <v>248.40408199999999</v>
      </c>
      <c r="R25" s="109">
        <f t="shared" si="4"/>
        <v>6.4081999999984873E-2</v>
      </c>
      <c r="S25" s="114"/>
      <c r="T25" s="363"/>
      <c r="U25" s="217"/>
      <c r="V25" s="217"/>
      <c r="W25" s="217"/>
    </row>
    <row r="26" spans="1:23" x14ac:dyDescent="0.2">
      <c r="A26" s="22"/>
      <c r="B26" s="106"/>
      <c r="C26" s="117">
        <v>28922.28</v>
      </c>
      <c r="D26" s="45">
        <v>273.89999999999998</v>
      </c>
      <c r="E26" s="46">
        <v>273.89867927024198</v>
      </c>
      <c r="F26" s="47">
        <f t="shared" si="5"/>
        <v>4.8219414311434505E-6</v>
      </c>
      <c r="G26" s="45">
        <f t="shared" si="0"/>
        <v>28922.250000000015</v>
      </c>
      <c r="H26" s="46">
        <f t="shared" si="1"/>
        <v>28922.269926665304</v>
      </c>
      <c r="I26" s="47">
        <f t="shared" si="6"/>
        <v>6.8897355109953651E-7</v>
      </c>
      <c r="J26" s="113">
        <v>234.1</v>
      </c>
      <c r="K26" s="46">
        <v>234.35</v>
      </c>
      <c r="L26" s="109">
        <f t="shared" si="2"/>
        <v>0.25</v>
      </c>
      <c r="M26" s="45">
        <v>234.1</v>
      </c>
      <c r="N26" s="46">
        <v>234.35</v>
      </c>
      <c r="O26" s="109">
        <f t="shared" si="7"/>
        <v>0.25</v>
      </c>
      <c r="P26" s="45">
        <v>237.08</v>
      </c>
      <c r="Q26" s="46">
        <v>237.29</v>
      </c>
      <c r="R26" s="109">
        <f t="shared" si="4"/>
        <v>0.20999999999997954</v>
      </c>
      <c r="S26" s="114"/>
      <c r="T26" s="363"/>
      <c r="U26" s="217"/>
      <c r="V26" s="217"/>
      <c r="W26" s="217"/>
    </row>
    <row r="27" spans="1:23" ht="12.75" customHeight="1" x14ac:dyDescent="0.2">
      <c r="A27" s="22"/>
      <c r="B27" s="106"/>
      <c r="C27" s="117">
        <v>28648.38</v>
      </c>
      <c r="D27" s="45">
        <v>215.5</v>
      </c>
      <c r="E27" s="46">
        <v>215.46867428047301</v>
      </c>
      <c r="F27" s="47">
        <f t="shared" si="5"/>
        <v>1.4536296764267043E-4</v>
      </c>
      <c r="G27" s="45">
        <f t="shared" si="0"/>
        <v>28648.350000000013</v>
      </c>
      <c r="H27" s="46">
        <f t="shared" si="1"/>
        <v>28648.371247395062</v>
      </c>
      <c r="I27" s="47">
        <f t="shared" si="6"/>
        <v>7.4166208685610968E-7</v>
      </c>
      <c r="J27" s="113">
        <v>248.15</v>
      </c>
      <c r="K27" s="118">
        <v>248.49</v>
      </c>
      <c r="L27" s="109">
        <f t="shared" si="2"/>
        <v>0.34000000000000341</v>
      </c>
      <c r="M27" s="45">
        <v>248.15</v>
      </c>
      <c r="N27" s="46">
        <v>248.49</v>
      </c>
      <c r="O27" s="109">
        <f t="shared" si="7"/>
        <v>0.34000000000000341</v>
      </c>
      <c r="P27" s="45">
        <v>251.21</v>
      </c>
      <c r="Q27" s="46">
        <v>251.51</v>
      </c>
      <c r="R27" s="109">
        <f t="shared" si="4"/>
        <v>0.29999999999998295</v>
      </c>
      <c r="S27" s="114"/>
      <c r="T27" s="363"/>
      <c r="U27" s="217"/>
      <c r="V27" s="217"/>
      <c r="W27" s="217"/>
    </row>
    <row r="28" spans="1:23" ht="12.4" customHeight="1" x14ac:dyDescent="0.2">
      <c r="A28" s="22"/>
      <c r="B28" s="106"/>
      <c r="C28" s="117">
        <v>28432.880000000001</v>
      </c>
      <c r="D28" s="45">
        <v>63.2</v>
      </c>
      <c r="E28" s="46">
        <v>63.188097464647797</v>
      </c>
      <c r="F28" s="47">
        <f t="shared" si="5"/>
        <v>1.8833125557293773E-4</v>
      </c>
      <c r="G28" s="45">
        <f t="shared" si="0"/>
        <v>28432.850000000013</v>
      </c>
      <c r="H28" s="46">
        <f t="shared" si="1"/>
        <v>28432.902573114588</v>
      </c>
      <c r="I28" s="47">
        <f t="shared" si="6"/>
        <v>1.8490272546412001E-6</v>
      </c>
      <c r="J28" s="113">
        <v>247.23</v>
      </c>
      <c r="K28" s="46">
        <v>247.1</v>
      </c>
      <c r="L28" s="109">
        <f t="shared" si="2"/>
        <v>0.12999999999999545</v>
      </c>
      <c r="M28" s="45">
        <v>247.24</v>
      </c>
      <c r="N28" s="46">
        <v>247.1</v>
      </c>
      <c r="O28" s="109">
        <f t="shared" si="7"/>
        <v>0.14000000000001478</v>
      </c>
      <c r="P28" s="45">
        <v>250.2</v>
      </c>
      <c r="Q28" s="46">
        <v>250.1</v>
      </c>
      <c r="R28" s="109">
        <f t="shared" si="4"/>
        <v>9.9999999999994316E-2</v>
      </c>
      <c r="S28" s="114"/>
      <c r="T28" s="363"/>
      <c r="U28" s="217"/>
      <c r="V28" s="217"/>
      <c r="W28" s="217"/>
    </row>
    <row r="29" spans="1:23" x14ac:dyDescent="0.2">
      <c r="A29" s="22"/>
      <c r="B29" s="106"/>
      <c r="C29" s="117">
        <v>28369.68</v>
      </c>
      <c r="D29" s="45">
        <v>43.4</v>
      </c>
      <c r="E29" s="46">
        <v>43.354136231229297</v>
      </c>
      <c r="F29" s="47">
        <f t="shared" si="5"/>
        <v>1.0567688656843988E-3</v>
      </c>
      <c r="G29" s="45">
        <f t="shared" si="0"/>
        <v>28369.650000000012</v>
      </c>
      <c r="H29" s="46">
        <f t="shared" si="1"/>
        <v>28369.71447564994</v>
      </c>
      <c r="I29" s="47">
        <f t="shared" si="6"/>
        <v>2.2726981097065391E-6</v>
      </c>
      <c r="J29" s="113">
        <v>244.93</v>
      </c>
      <c r="K29" s="46">
        <v>244.84</v>
      </c>
      <c r="L29" s="109">
        <f t="shared" si="2"/>
        <v>9.0000000000003411E-2</v>
      </c>
      <c r="M29" s="45">
        <v>231</v>
      </c>
      <c r="N29" s="46">
        <v>231</v>
      </c>
      <c r="O29" s="109">
        <f t="shared" si="7"/>
        <v>0</v>
      </c>
      <c r="P29" s="45">
        <v>247.29</v>
      </c>
      <c r="Q29" s="46">
        <v>247.42</v>
      </c>
      <c r="R29" s="109">
        <f t="shared" si="4"/>
        <v>0.12999999999999545</v>
      </c>
      <c r="S29" s="114"/>
      <c r="T29" s="363"/>
      <c r="U29" s="217"/>
      <c r="V29" s="217"/>
      <c r="W29" s="217"/>
    </row>
    <row r="30" spans="1:23" x14ac:dyDescent="0.2">
      <c r="A30" s="22"/>
      <c r="B30" s="106"/>
      <c r="C30" s="117">
        <v>28326.28</v>
      </c>
      <c r="D30" s="45">
        <v>202.2</v>
      </c>
      <c r="E30" s="46">
        <v>202.19646556981399</v>
      </c>
      <c r="F30" s="47">
        <f t="shared" si="5"/>
        <v>1.7479872334247304E-5</v>
      </c>
      <c r="G30" s="45">
        <f t="shared" si="0"/>
        <v>28326.250000000011</v>
      </c>
      <c r="H30" s="46">
        <f t="shared" si="1"/>
        <v>28326.360339418712</v>
      </c>
      <c r="I30" s="47">
        <f t="shared" si="6"/>
        <v>3.8953062513336079E-6</v>
      </c>
      <c r="J30" s="113">
        <v>172.68</v>
      </c>
      <c r="K30" s="46">
        <v>192.73</v>
      </c>
      <c r="L30" s="109">
        <f t="shared" ref="L30:L105" si="8">ABS(K30-J30)</f>
        <v>20.049999999999983</v>
      </c>
      <c r="M30" s="45">
        <v>164</v>
      </c>
      <c r="N30" s="46">
        <v>174.7</v>
      </c>
      <c r="O30" s="109">
        <f t="shared" si="7"/>
        <v>10.699999999999989</v>
      </c>
      <c r="P30" s="45">
        <v>233.46</v>
      </c>
      <c r="Q30" s="46">
        <v>234.17</v>
      </c>
      <c r="R30" s="109">
        <f t="shared" si="4"/>
        <v>0.70999999999997954</v>
      </c>
      <c r="S30" s="114"/>
      <c r="T30" s="363"/>
      <c r="U30" s="217"/>
      <c r="V30" s="217"/>
      <c r="W30" s="217"/>
    </row>
    <row r="31" spans="1:23" x14ac:dyDescent="0.2">
      <c r="A31" s="22"/>
      <c r="B31" s="106"/>
      <c r="C31" s="117">
        <v>28124.080000000002</v>
      </c>
      <c r="D31" s="45">
        <v>273.3</v>
      </c>
      <c r="E31" s="46">
        <v>273.32334270926702</v>
      </c>
      <c r="F31" s="47">
        <f t="shared" si="5"/>
        <v>8.5410571778243849E-5</v>
      </c>
      <c r="G31" s="45">
        <f t="shared" si="0"/>
        <v>28124.05000000001</v>
      </c>
      <c r="H31" s="46">
        <f t="shared" si="1"/>
        <v>28124.163873848898</v>
      </c>
      <c r="I31" s="47">
        <f t="shared" si="6"/>
        <v>4.0489847261682144E-6</v>
      </c>
      <c r="J31" s="113">
        <v>249.09</v>
      </c>
      <c r="K31" s="46">
        <v>249.22</v>
      </c>
      <c r="L31" s="109">
        <f t="shared" si="8"/>
        <v>0.12999999999999545</v>
      </c>
      <c r="M31" s="45">
        <v>249.09</v>
      </c>
      <c r="N31" s="46">
        <v>249.22</v>
      </c>
      <c r="O31" s="109">
        <f t="shared" si="7"/>
        <v>0.12999999999999545</v>
      </c>
      <c r="P31" s="45">
        <v>252.23</v>
      </c>
      <c r="Q31" s="46">
        <v>252.36</v>
      </c>
      <c r="R31" s="109">
        <f t="shared" si="4"/>
        <v>0.13000000000002387</v>
      </c>
      <c r="S31" s="114"/>
      <c r="T31" s="363"/>
      <c r="U31" s="217"/>
      <c r="V31" s="217"/>
      <c r="W31" s="217"/>
    </row>
    <row r="32" spans="1:23" x14ac:dyDescent="0.2">
      <c r="A32" s="22"/>
      <c r="B32" s="106"/>
      <c r="C32" s="117">
        <v>27850.78</v>
      </c>
      <c r="D32" s="45">
        <v>149.19999999999999</v>
      </c>
      <c r="E32" s="48">
        <v>149.22290394410501</v>
      </c>
      <c r="F32" s="47">
        <f t="shared" si="5"/>
        <v>1.535116897120048E-4</v>
      </c>
      <c r="G32" s="45">
        <f t="shared" si="0"/>
        <v>27850.750000000011</v>
      </c>
      <c r="H32" s="46">
        <f t="shared" si="1"/>
        <v>27850.840531139631</v>
      </c>
      <c r="I32" s="47">
        <f t="shared" si="6"/>
        <v>3.2505817479933086E-6</v>
      </c>
      <c r="J32" s="113">
        <v>248.91</v>
      </c>
      <c r="K32" s="46">
        <v>248.52</v>
      </c>
      <c r="L32" s="109">
        <f t="shared" si="8"/>
        <v>0.38999999999998636</v>
      </c>
      <c r="M32" s="45">
        <v>248.92</v>
      </c>
      <c r="N32" s="46">
        <v>248.52</v>
      </c>
      <c r="O32" s="109">
        <f t="shared" si="7"/>
        <v>0.39999999999997726</v>
      </c>
      <c r="P32" s="45">
        <v>251.93</v>
      </c>
      <c r="Q32" s="46">
        <v>250.77</v>
      </c>
      <c r="R32" s="109">
        <f t="shared" si="4"/>
        <v>1.1599999999999966</v>
      </c>
      <c r="S32" s="114"/>
      <c r="T32" s="363"/>
      <c r="U32" s="217"/>
      <c r="V32" s="217"/>
      <c r="W32" s="217"/>
    </row>
    <row r="33" spans="1:23" x14ac:dyDescent="0.2">
      <c r="A33" s="22"/>
      <c r="B33" s="106"/>
      <c r="C33" s="117">
        <v>27701.58</v>
      </c>
      <c r="D33" s="45">
        <v>45.4</v>
      </c>
      <c r="E33" s="48">
        <v>45.388620882802101</v>
      </c>
      <c r="F33" s="47">
        <f t="shared" si="5"/>
        <v>2.5064134797125881E-4</v>
      </c>
      <c r="G33" s="45">
        <f t="shared" si="0"/>
        <v>27701.55000000001</v>
      </c>
      <c r="H33" s="46">
        <f t="shared" si="1"/>
        <v>27701.617627195526</v>
      </c>
      <c r="I33" s="47">
        <f t="shared" si="6"/>
        <v>2.4412783947713734E-6</v>
      </c>
      <c r="J33" s="113">
        <v>244.39</v>
      </c>
      <c r="K33" s="46">
        <v>244.07</v>
      </c>
      <c r="L33" s="109">
        <f t="shared" si="8"/>
        <v>0.31999999999999318</v>
      </c>
      <c r="M33" s="45">
        <v>234</v>
      </c>
      <c r="N33" s="46">
        <v>244.07</v>
      </c>
      <c r="O33" s="109">
        <f t="shared" si="7"/>
        <v>10.069999999999993</v>
      </c>
      <c r="P33" s="45">
        <v>246.87</v>
      </c>
      <c r="Q33" s="46">
        <v>246.62</v>
      </c>
      <c r="R33" s="109">
        <f t="shared" si="4"/>
        <v>0.25</v>
      </c>
      <c r="S33" s="114"/>
      <c r="T33" s="363"/>
      <c r="U33" s="217"/>
      <c r="V33" s="217"/>
      <c r="W33" s="217"/>
    </row>
    <row r="34" spans="1:23" x14ac:dyDescent="0.2">
      <c r="A34" s="22"/>
      <c r="B34" s="106"/>
      <c r="C34" s="117">
        <v>27656.18</v>
      </c>
      <c r="D34" s="45">
        <v>201.2</v>
      </c>
      <c r="E34" s="48">
        <v>201.17070235126801</v>
      </c>
      <c r="F34" s="47">
        <f t="shared" si="5"/>
        <v>1.456145563220046E-4</v>
      </c>
      <c r="G34" s="45">
        <f t="shared" si="0"/>
        <v>27656.150000000009</v>
      </c>
      <c r="H34" s="46">
        <f t="shared" si="1"/>
        <v>27656.229006312726</v>
      </c>
      <c r="I34" s="47">
        <f t="shared" si="6"/>
        <v>2.8567357610587152E-6</v>
      </c>
      <c r="J34" s="113">
        <v>224.03</v>
      </c>
      <c r="K34" s="46">
        <v>229.53</v>
      </c>
      <c r="L34" s="109">
        <f t="shared" si="8"/>
        <v>5.5</v>
      </c>
      <c r="M34" s="45">
        <v>215</v>
      </c>
      <c r="N34" s="46">
        <v>229.53</v>
      </c>
      <c r="O34" s="109">
        <f t="shared" si="7"/>
        <v>14.530000000000001</v>
      </c>
      <c r="P34" s="45">
        <v>232.47</v>
      </c>
      <c r="Q34" s="46">
        <v>232.52</v>
      </c>
      <c r="R34" s="109">
        <f t="shared" si="4"/>
        <v>5.0000000000011369E-2</v>
      </c>
      <c r="S34" s="114"/>
      <c r="T34" s="363"/>
      <c r="U34" s="217"/>
      <c r="V34" s="217"/>
      <c r="W34" s="217"/>
    </row>
    <row r="35" spans="1:23" x14ac:dyDescent="0.2">
      <c r="A35" s="22"/>
      <c r="B35" s="106"/>
      <c r="C35" s="117">
        <v>27454.98</v>
      </c>
      <c r="D35" s="45">
        <v>190.5</v>
      </c>
      <c r="E35" s="48">
        <v>190.476048477387</v>
      </c>
      <c r="F35" s="47">
        <f t="shared" si="5"/>
        <v>1.2572977749603087E-4</v>
      </c>
      <c r="G35" s="45">
        <f t="shared" si="0"/>
        <v>27454.950000000008</v>
      </c>
      <c r="H35" s="46">
        <f t="shared" si="1"/>
        <v>27455.058303961458</v>
      </c>
      <c r="I35" s="47">
        <f t="shared" si="6"/>
        <v>3.9447881510223937E-6</v>
      </c>
      <c r="J35" s="113">
        <v>248.99</v>
      </c>
      <c r="K35" s="46">
        <v>248.8</v>
      </c>
      <c r="L35" s="109">
        <f t="shared" si="8"/>
        <v>0.18999999999999773</v>
      </c>
      <c r="M35" s="45">
        <v>248.96</v>
      </c>
      <c r="N35" s="46">
        <v>248.8</v>
      </c>
      <c r="O35" s="109">
        <f t="shared" si="7"/>
        <v>0.15999999999999659</v>
      </c>
      <c r="P35" s="45">
        <v>252.04</v>
      </c>
      <c r="Q35" s="46">
        <v>251.84</v>
      </c>
      <c r="R35" s="109">
        <f t="shared" si="4"/>
        <v>0.19999999999998863</v>
      </c>
      <c r="S35" s="114"/>
      <c r="T35" s="363"/>
      <c r="U35" s="217"/>
      <c r="V35" s="217"/>
      <c r="W35" s="217"/>
    </row>
    <row r="36" spans="1:23" x14ac:dyDescent="0.2">
      <c r="A36" s="22"/>
      <c r="B36" s="106"/>
      <c r="C36" s="117">
        <v>27264.48</v>
      </c>
      <c r="D36" s="45">
        <v>41.4</v>
      </c>
      <c r="E36" s="48">
        <v>41.438835686306398</v>
      </c>
      <c r="F36" s="47">
        <f t="shared" si="5"/>
        <v>9.3806005571006601E-4</v>
      </c>
      <c r="G36" s="45">
        <f t="shared" si="0"/>
        <v>27264.450000000008</v>
      </c>
      <c r="H36" s="46">
        <f t="shared" si="1"/>
        <v>27264.582255484071</v>
      </c>
      <c r="I36" s="47">
        <f t="shared" si="6"/>
        <v>4.8508399788094181E-6</v>
      </c>
      <c r="J36" s="113">
        <v>243.19</v>
      </c>
      <c r="K36" s="46">
        <v>243.47</v>
      </c>
      <c r="L36" s="109">
        <f t="shared" si="8"/>
        <v>0.28000000000000114</v>
      </c>
      <c r="M36" s="45">
        <v>243.19</v>
      </c>
      <c r="N36" s="46">
        <v>243.47</v>
      </c>
      <c r="O36" s="109">
        <f t="shared" si="7"/>
        <v>0.28000000000000114</v>
      </c>
      <c r="P36" s="45">
        <v>245.49</v>
      </c>
      <c r="Q36" s="46">
        <v>245.54</v>
      </c>
      <c r="R36" s="109">
        <f t="shared" si="4"/>
        <v>4.9999999999982947E-2</v>
      </c>
      <c r="S36" s="114"/>
      <c r="T36" s="363"/>
      <c r="U36" s="217"/>
      <c r="V36" s="217"/>
      <c r="W36" s="217"/>
    </row>
    <row r="37" spans="1:23" x14ac:dyDescent="0.2">
      <c r="A37" s="22"/>
      <c r="B37" s="106"/>
      <c r="C37" s="117">
        <v>27223.08</v>
      </c>
      <c r="D37" s="45">
        <v>305.5</v>
      </c>
      <c r="E37" s="48">
        <v>305.541481255044</v>
      </c>
      <c r="F37" s="47">
        <f t="shared" si="5"/>
        <v>1.3578152223892026E-4</v>
      </c>
      <c r="G37" s="45">
        <f t="shared" si="0"/>
        <v>27223.050000000007</v>
      </c>
      <c r="H37" s="46">
        <f t="shared" si="1"/>
        <v>27223.143419797765</v>
      </c>
      <c r="I37" s="47">
        <f t="shared" si="6"/>
        <v>3.4316433228376297E-6</v>
      </c>
      <c r="J37" s="113">
        <v>227.35</v>
      </c>
      <c r="K37" s="46">
        <v>227.31</v>
      </c>
      <c r="L37" s="109">
        <f t="shared" si="8"/>
        <v>3.9999999999992042E-2</v>
      </c>
      <c r="M37" s="45">
        <v>227.35</v>
      </c>
      <c r="N37" s="46">
        <v>227.31</v>
      </c>
      <c r="O37" s="109">
        <f t="shared" si="7"/>
        <v>3.9999999999992042E-2</v>
      </c>
      <c r="P37" s="45">
        <v>230.53</v>
      </c>
      <c r="Q37" s="46">
        <v>230.8</v>
      </c>
      <c r="R37" s="109">
        <f t="shared" si="4"/>
        <v>0.27000000000001023</v>
      </c>
      <c r="S37" s="114"/>
      <c r="T37" s="363"/>
      <c r="U37" s="217"/>
      <c r="V37" s="217"/>
      <c r="W37" s="217"/>
    </row>
    <row r="38" spans="1:23" x14ac:dyDescent="0.2">
      <c r="A38" s="22"/>
      <c r="B38" s="106"/>
      <c r="C38" s="117">
        <v>26917.58</v>
      </c>
      <c r="D38" s="45">
        <v>228.3</v>
      </c>
      <c r="E38" s="48">
        <v>228.31853388798601</v>
      </c>
      <c r="F38" s="47">
        <f t="shared" si="5"/>
        <v>8.1182163758297676E-5</v>
      </c>
      <c r="G38" s="45">
        <f t="shared" si="0"/>
        <v>26917.550000000007</v>
      </c>
      <c r="H38" s="46">
        <f t="shared" si="1"/>
        <v>26917.601938542721</v>
      </c>
      <c r="I38" s="47">
        <f t="shared" si="6"/>
        <v>1.929541979750482E-6</v>
      </c>
      <c r="J38" s="113">
        <v>248.97</v>
      </c>
      <c r="K38" s="46">
        <v>248.25</v>
      </c>
      <c r="L38" s="109">
        <f t="shared" si="8"/>
        <v>0.71999999999999886</v>
      </c>
      <c r="M38" s="45">
        <v>248.95</v>
      </c>
      <c r="N38" s="46">
        <v>248.25</v>
      </c>
      <c r="O38" s="109">
        <f t="shared" si="7"/>
        <v>0.69999999999998863</v>
      </c>
      <c r="P38" s="45">
        <v>252.12</v>
      </c>
      <c r="Q38" s="46">
        <v>251.82</v>
      </c>
      <c r="R38" s="109">
        <f t="shared" si="4"/>
        <v>0.30000000000001137</v>
      </c>
      <c r="S38" s="114"/>
      <c r="T38" s="363"/>
      <c r="U38" s="217"/>
      <c r="V38" s="217"/>
      <c r="W38" s="217"/>
    </row>
    <row r="39" spans="1:23" x14ac:dyDescent="0.2">
      <c r="A39" s="22"/>
      <c r="B39" s="106"/>
      <c r="C39" s="117">
        <v>26689.279999999999</v>
      </c>
      <c r="D39" s="45">
        <v>41</v>
      </c>
      <c r="E39" s="48">
        <v>40.978502638872001</v>
      </c>
      <c r="F39" s="47">
        <f t="shared" si="5"/>
        <v>5.2432588117068413E-4</v>
      </c>
      <c r="G39" s="45">
        <f t="shared" si="0"/>
        <v>26689.250000000007</v>
      </c>
      <c r="H39" s="46">
        <f t="shared" si="1"/>
        <v>26689.283404654736</v>
      </c>
      <c r="I39" s="47">
        <f t="shared" si="6"/>
        <v>1.2516145913021859E-6</v>
      </c>
      <c r="J39" s="113">
        <v>243.87</v>
      </c>
      <c r="K39" s="46">
        <v>243.25</v>
      </c>
      <c r="L39" s="109">
        <f t="shared" si="8"/>
        <v>0.62000000000000455</v>
      </c>
      <c r="M39" s="45">
        <v>242.41</v>
      </c>
      <c r="N39" s="46">
        <v>243.25</v>
      </c>
      <c r="O39" s="109">
        <f t="shared" si="7"/>
        <v>0.84000000000000341</v>
      </c>
      <c r="P39" s="45">
        <v>246.15</v>
      </c>
      <c r="Q39" s="46">
        <v>245.5</v>
      </c>
      <c r="R39" s="109">
        <f t="shared" si="4"/>
        <v>0.65000000000000568</v>
      </c>
      <c r="S39" s="114"/>
      <c r="T39" s="363"/>
      <c r="U39" s="217"/>
      <c r="V39" s="217"/>
      <c r="W39" s="217"/>
    </row>
    <row r="40" spans="1:23" x14ac:dyDescent="0.2">
      <c r="A40" s="22"/>
      <c r="B40" s="106"/>
      <c r="C40" s="117">
        <v>26648.28</v>
      </c>
      <c r="D40" s="45">
        <v>78</v>
      </c>
      <c r="E40" s="48">
        <v>77.987465045152106</v>
      </c>
      <c r="F40" s="47">
        <f t="shared" si="5"/>
        <v>1.607045493319248E-4</v>
      </c>
      <c r="G40" s="45">
        <f t="shared" si="0"/>
        <v>26648.250000000007</v>
      </c>
      <c r="H40" s="46">
        <f t="shared" si="1"/>
        <v>26648.304902015865</v>
      </c>
      <c r="I40" s="47">
        <f t="shared" si="6"/>
        <v>2.0602484538390087E-6</v>
      </c>
      <c r="J40" s="113">
        <v>229.01</v>
      </c>
      <c r="K40" s="46">
        <v>227.9</v>
      </c>
      <c r="L40" s="109">
        <f t="shared" si="8"/>
        <v>1.1099999999999852</v>
      </c>
      <c r="M40" s="45">
        <v>227.7</v>
      </c>
      <c r="N40" s="46">
        <v>227.9</v>
      </c>
      <c r="O40" s="109">
        <f t="shared" si="7"/>
        <v>0.20000000000001705</v>
      </c>
      <c r="P40" s="45">
        <v>232.36</v>
      </c>
      <c r="Q40" s="46">
        <v>232.03</v>
      </c>
      <c r="R40" s="109">
        <f t="shared" si="4"/>
        <v>0.33000000000001251</v>
      </c>
      <c r="S40" s="114"/>
      <c r="T40" s="363"/>
      <c r="U40" s="217"/>
      <c r="V40" s="217"/>
      <c r="W40" s="217"/>
    </row>
    <row r="41" spans="1:23" x14ac:dyDescent="0.2">
      <c r="A41" s="22"/>
      <c r="B41" s="106"/>
      <c r="C41" s="117">
        <v>26570.28</v>
      </c>
      <c r="D41" s="45">
        <v>66.900000000000006</v>
      </c>
      <c r="E41" s="48">
        <v>66.890560906545701</v>
      </c>
      <c r="F41" s="47">
        <f t="shared" si="5"/>
        <v>1.410925777922678E-4</v>
      </c>
      <c r="G41" s="45">
        <f t="shared" si="0"/>
        <v>26570.250000000007</v>
      </c>
      <c r="H41" s="46">
        <f t="shared" si="1"/>
        <v>26570.317436970712</v>
      </c>
      <c r="I41" s="47">
        <f t="shared" si="6"/>
        <v>2.5380630856997044E-6</v>
      </c>
      <c r="J41" s="113">
        <v>236.69</v>
      </c>
      <c r="K41" s="46">
        <v>236.22</v>
      </c>
      <c r="L41" s="109">
        <f t="shared" si="8"/>
        <v>0.46999999999999886</v>
      </c>
      <c r="M41" s="45">
        <v>236.86</v>
      </c>
      <c r="N41" s="46">
        <v>236.22</v>
      </c>
      <c r="O41" s="109">
        <f t="shared" si="7"/>
        <v>0.64000000000001478</v>
      </c>
      <c r="P41" s="45">
        <v>239.68</v>
      </c>
      <c r="Q41" s="46">
        <v>240.39</v>
      </c>
      <c r="R41" s="109">
        <f t="shared" si="4"/>
        <v>0.70999999999997954</v>
      </c>
      <c r="S41" s="114"/>
      <c r="T41" s="363"/>
      <c r="U41" s="217"/>
      <c r="V41" s="217"/>
      <c r="W41" s="217"/>
    </row>
    <row r="42" spans="1:23" x14ac:dyDescent="0.2">
      <c r="A42" s="22"/>
      <c r="B42" s="106"/>
      <c r="C42" s="117">
        <v>26503.38</v>
      </c>
      <c r="D42" s="45">
        <v>41.1</v>
      </c>
      <c r="E42" s="48">
        <v>41.1366374641186</v>
      </c>
      <c r="F42" s="47">
        <f t="shared" si="5"/>
        <v>8.9142248463747187E-4</v>
      </c>
      <c r="G42" s="45">
        <f t="shared" si="0"/>
        <v>26503.350000000006</v>
      </c>
      <c r="H42" s="46">
        <f t="shared" si="1"/>
        <v>26503.426876064168</v>
      </c>
      <c r="I42" s="47">
        <f t="shared" si="6"/>
        <v>2.9006168715817182E-6</v>
      </c>
      <c r="J42" s="113">
        <v>242.04</v>
      </c>
      <c r="K42" s="46">
        <v>241.23</v>
      </c>
      <c r="L42" s="109">
        <f t="shared" si="8"/>
        <v>0.81000000000000227</v>
      </c>
      <c r="M42" s="45">
        <v>232</v>
      </c>
      <c r="N42" s="46">
        <v>241.23</v>
      </c>
      <c r="O42" s="109">
        <f t="shared" si="7"/>
        <v>9.2299999999999898</v>
      </c>
      <c r="P42" s="45">
        <v>244.4</v>
      </c>
      <c r="Q42" s="46">
        <v>243.62</v>
      </c>
      <c r="R42" s="109">
        <f t="shared" si="4"/>
        <v>0.78000000000000114</v>
      </c>
      <c r="S42" s="114"/>
      <c r="T42" s="363"/>
      <c r="U42" s="217"/>
      <c r="V42" s="217"/>
      <c r="W42" s="217"/>
    </row>
    <row r="43" spans="1:23" x14ac:dyDescent="0.2">
      <c r="A43" s="22"/>
      <c r="B43" s="106"/>
      <c r="C43" s="117">
        <v>26462.28</v>
      </c>
      <c r="D43" s="45">
        <v>212.6</v>
      </c>
      <c r="E43" s="48">
        <v>212.58089978195699</v>
      </c>
      <c r="F43" s="47">
        <f t="shared" si="5"/>
        <v>8.9841100860854617E-5</v>
      </c>
      <c r="G43" s="45">
        <f t="shared" si="0"/>
        <v>26462.250000000007</v>
      </c>
      <c r="H43" s="46">
        <f t="shared" si="1"/>
        <v>26462.29023860005</v>
      </c>
      <c r="I43" s="47">
        <f t="shared" si="6"/>
        <v>1.520603880811322E-6</v>
      </c>
      <c r="J43" s="113">
        <v>230.79</v>
      </c>
      <c r="K43" s="46">
        <v>231.01</v>
      </c>
      <c r="L43" s="109">
        <f t="shared" si="8"/>
        <v>0.21999999999999886</v>
      </c>
      <c r="M43" s="45">
        <v>225</v>
      </c>
      <c r="N43" s="46">
        <v>231.01</v>
      </c>
      <c r="O43" s="109">
        <f t="shared" si="7"/>
        <v>6.0099999999999909</v>
      </c>
      <c r="P43" s="45">
        <v>234.52</v>
      </c>
      <c r="Q43" s="46">
        <v>234.7</v>
      </c>
      <c r="R43" s="109">
        <f t="shared" si="4"/>
        <v>0.1799999999999784</v>
      </c>
      <c r="S43" s="114"/>
      <c r="T43" s="363"/>
      <c r="U43" s="217"/>
      <c r="V43" s="217"/>
      <c r="W43" s="217"/>
    </row>
    <row r="44" spans="1:23" x14ac:dyDescent="0.2">
      <c r="A44" s="22"/>
      <c r="B44" s="106"/>
      <c r="C44" s="117">
        <v>26249.68</v>
      </c>
      <c r="D44" s="45">
        <v>395.4</v>
      </c>
      <c r="E44" s="48">
        <v>395.44992098820899</v>
      </c>
      <c r="F44" s="47">
        <f t="shared" si="5"/>
        <v>1.2625439607738542E-4</v>
      </c>
      <c r="G44" s="45">
        <f t="shared" si="0"/>
        <v>26249.650000000009</v>
      </c>
      <c r="H44" s="46">
        <f t="shared" si="1"/>
        <v>26249.709338818091</v>
      </c>
      <c r="I44" s="47">
        <f t="shared" si="6"/>
        <v>2.2605565439537401E-6</v>
      </c>
      <c r="J44" s="113">
        <v>252.47</v>
      </c>
      <c r="K44" s="46">
        <v>253.11</v>
      </c>
      <c r="L44" s="109">
        <f t="shared" si="8"/>
        <v>0.64000000000001478</v>
      </c>
      <c r="M44" s="45">
        <v>252.47</v>
      </c>
      <c r="N44" s="46">
        <v>253.11</v>
      </c>
      <c r="O44" s="109">
        <f t="shared" si="7"/>
        <v>0.64000000000001478</v>
      </c>
      <c r="P44" s="45">
        <v>256.38</v>
      </c>
      <c r="Q44" s="46">
        <v>257.01</v>
      </c>
      <c r="R44" s="109">
        <f t="shared" ref="R44:R75" si="9">ABS(Q44-P44)</f>
        <v>0.62999999999999545</v>
      </c>
      <c r="S44" s="114"/>
      <c r="T44" s="363"/>
      <c r="U44" s="217"/>
      <c r="V44" s="217"/>
      <c r="W44" s="217"/>
    </row>
    <row r="45" spans="1:23" x14ac:dyDescent="0.2">
      <c r="A45" s="22"/>
      <c r="B45" s="106"/>
      <c r="C45" s="117">
        <v>25854.28</v>
      </c>
      <c r="D45" s="45">
        <v>332.4</v>
      </c>
      <c r="E45" s="48">
        <v>332.43335231521701</v>
      </c>
      <c r="F45" s="47">
        <f t="shared" si="5"/>
        <v>1.0033789174790364E-4</v>
      </c>
      <c r="G45" s="45">
        <f t="shared" si="0"/>
        <v>25854.250000000007</v>
      </c>
      <c r="H45" s="46">
        <f t="shared" si="1"/>
        <v>25854.259417829882</v>
      </c>
      <c r="I45" s="47">
        <f t="shared" si="6"/>
        <v>3.642662183001022E-7</v>
      </c>
      <c r="J45" s="113">
        <v>252.29</v>
      </c>
      <c r="K45" s="46">
        <v>252.37</v>
      </c>
      <c r="L45" s="109">
        <f t="shared" si="8"/>
        <v>8.0000000000012506E-2</v>
      </c>
      <c r="M45" s="45">
        <v>252.26</v>
      </c>
      <c r="N45" s="46">
        <v>252.37</v>
      </c>
      <c r="O45" s="109">
        <f t="shared" si="7"/>
        <v>0.11000000000001364</v>
      </c>
      <c r="P45" s="45">
        <v>256.02</v>
      </c>
      <c r="Q45" s="46">
        <v>256.10000000000002</v>
      </c>
      <c r="R45" s="109">
        <f t="shared" si="9"/>
        <v>8.0000000000040927E-2</v>
      </c>
      <c r="S45" s="114"/>
      <c r="T45" s="363"/>
      <c r="U45" s="217"/>
      <c r="V45" s="217"/>
      <c r="W45" s="217"/>
    </row>
    <row r="46" spans="1:23" x14ac:dyDescent="0.2">
      <c r="A46" s="22"/>
      <c r="B46" s="106"/>
      <c r="C46" s="117">
        <v>25521.88</v>
      </c>
      <c r="D46" s="45">
        <v>36.9</v>
      </c>
      <c r="E46" s="48">
        <v>36.881745116995504</v>
      </c>
      <c r="F46" s="47">
        <f t="shared" si="5"/>
        <v>4.9471227654462879E-4</v>
      </c>
      <c r="G46" s="45">
        <f t="shared" si="0"/>
        <v>25521.850000000006</v>
      </c>
      <c r="H46" s="46">
        <f t="shared" si="1"/>
        <v>25521.826065514666</v>
      </c>
      <c r="I46" s="47">
        <f t="shared" si="6"/>
        <v>9.3780369914142625E-7</v>
      </c>
      <c r="J46" s="113">
        <v>275.33</v>
      </c>
      <c r="K46" s="46">
        <v>286.26</v>
      </c>
      <c r="L46" s="109">
        <f t="shared" si="8"/>
        <v>10.930000000000007</v>
      </c>
      <c r="M46" s="45">
        <v>274.5</v>
      </c>
      <c r="N46" s="46">
        <v>286.26</v>
      </c>
      <c r="O46" s="109">
        <f t="shared" si="7"/>
        <v>11.759999999999991</v>
      </c>
      <c r="P46" s="45">
        <v>283.08</v>
      </c>
      <c r="Q46" s="46">
        <v>292.38</v>
      </c>
      <c r="R46" s="109">
        <f t="shared" si="9"/>
        <v>9.3000000000000114</v>
      </c>
      <c r="S46" s="114"/>
      <c r="T46" s="363"/>
      <c r="U46" s="217"/>
      <c r="V46" s="217"/>
      <c r="W46" s="217"/>
    </row>
    <row r="47" spans="1:23" x14ac:dyDescent="0.2">
      <c r="A47" s="22"/>
      <c r="B47" s="106"/>
      <c r="C47" s="117">
        <v>25484.98</v>
      </c>
      <c r="D47" s="45">
        <v>318.2</v>
      </c>
      <c r="E47" s="48">
        <v>318.17421387945097</v>
      </c>
      <c r="F47" s="47">
        <f t="shared" si="5"/>
        <v>8.1037462441924113E-5</v>
      </c>
      <c r="G47" s="45">
        <f t="shared" si="0"/>
        <v>25484.950000000004</v>
      </c>
      <c r="H47" s="46">
        <f t="shared" si="1"/>
        <v>25484.94432039767</v>
      </c>
      <c r="I47" s="47">
        <f t="shared" si="6"/>
        <v>2.2286103507074273E-7</v>
      </c>
      <c r="J47" s="113">
        <v>256.60000000000002</v>
      </c>
      <c r="K47" s="46">
        <v>255.69</v>
      </c>
      <c r="L47" s="109">
        <f t="shared" si="8"/>
        <v>0.91000000000002501</v>
      </c>
      <c r="M47" s="45">
        <v>256.60000000000002</v>
      </c>
      <c r="N47" s="46">
        <v>255.69</v>
      </c>
      <c r="O47" s="109">
        <f t="shared" si="7"/>
        <v>0.91000000000002501</v>
      </c>
      <c r="P47" s="45">
        <v>273.63</v>
      </c>
      <c r="Q47" s="46">
        <v>274.02999999999997</v>
      </c>
      <c r="R47" s="109">
        <f t="shared" si="9"/>
        <v>0.39999999999997726</v>
      </c>
      <c r="S47" s="114"/>
      <c r="T47" s="363"/>
      <c r="U47" s="217"/>
      <c r="V47" s="217"/>
      <c r="W47" s="217"/>
    </row>
    <row r="48" spans="1:23" x14ac:dyDescent="0.2">
      <c r="A48" s="22"/>
      <c r="B48" s="106"/>
      <c r="C48" s="117">
        <v>25166.78</v>
      </c>
      <c r="D48" s="45">
        <v>328.8</v>
      </c>
      <c r="E48" s="48">
        <v>328.80840522330499</v>
      </c>
      <c r="F48" s="47">
        <f t="shared" si="5"/>
        <v>2.5563331219613517E-5</v>
      </c>
      <c r="G48" s="45">
        <f t="shared" si="0"/>
        <v>25166.750000000004</v>
      </c>
      <c r="H48" s="46">
        <f t="shared" si="1"/>
        <v>25166.770106518219</v>
      </c>
      <c r="I48" s="47">
        <f t="shared" si="6"/>
        <v>7.9893185311874504E-7</v>
      </c>
      <c r="J48" s="113">
        <v>537.86</v>
      </c>
      <c r="K48" s="46">
        <v>538.15</v>
      </c>
      <c r="L48" s="109">
        <f t="shared" si="8"/>
        <v>0.28999999999996362</v>
      </c>
      <c r="M48" s="45">
        <v>537.71</v>
      </c>
      <c r="N48" s="46">
        <v>538.15</v>
      </c>
      <c r="O48" s="109">
        <f t="shared" si="7"/>
        <v>0.43999999999994088</v>
      </c>
      <c r="P48" s="45">
        <v>634.14</v>
      </c>
      <c r="Q48" s="46">
        <v>640.73</v>
      </c>
      <c r="R48" s="109">
        <f t="shared" si="9"/>
        <v>6.5900000000000318</v>
      </c>
      <c r="S48" s="114"/>
      <c r="T48" s="363"/>
      <c r="U48" s="217"/>
      <c r="V48" s="217"/>
      <c r="W48" s="217"/>
    </row>
    <row r="49" spans="1:23" x14ac:dyDescent="0.2">
      <c r="A49" s="22"/>
      <c r="B49" s="106"/>
      <c r="C49" s="117">
        <v>24837.98</v>
      </c>
      <c r="D49" s="45">
        <v>299.60000000000002</v>
      </c>
      <c r="E49" s="48">
        <v>299.55917343482099</v>
      </c>
      <c r="F49" s="47">
        <f t="shared" si="5"/>
        <v>1.3627024425577616E-4</v>
      </c>
      <c r="G49" s="45">
        <f t="shared" si="0"/>
        <v>24837.950000000004</v>
      </c>
      <c r="H49" s="46">
        <f t="shared" si="1"/>
        <v>24837.961701294913</v>
      </c>
      <c r="I49" s="47">
        <f t="shared" si="6"/>
        <v>4.7110550216444835E-7</v>
      </c>
      <c r="J49" s="113">
        <v>524.34</v>
      </c>
      <c r="K49" s="46">
        <v>522.02983300000005</v>
      </c>
      <c r="L49" s="109">
        <f t="shared" si="8"/>
        <v>2.3101669999999785</v>
      </c>
      <c r="M49" s="45">
        <v>523.91</v>
      </c>
      <c r="N49" s="46">
        <v>522.02983300000005</v>
      </c>
      <c r="O49" s="109">
        <f t="shared" si="7"/>
        <v>1.8801669999999149</v>
      </c>
      <c r="P49" s="45">
        <v>557.76</v>
      </c>
      <c r="Q49" s="46">
        <v>556.38</v>
      </c>
      <c r="R49" s="109">
        <f t="shared" si="9"/>
        <v>1.3799999999999955</v>
      </c>
      <c r="S49" s="114"/>
      <c r="T49" s="363"/>
      <c r="U49" s="217"/>
      <c r="V49" s="217"/>
      <c r="W49" s="217"/>
    </row>
    <row r="50" spans="1:23" x14ac:dyDescent="0.2">
      <c r="A50" s="22"/>
      <c r="B50" s="106"/>
      <c r="C50" s="117">
        <v>24538.38</v>
      </c>
      <c r="D50" s="45">
        <v>296.60000000000002</v>
      </c>
      <c r="E50" s="48">
        <v>296.58904385147201</v>
      </c>
      <c r="F50" s="47">
        <f t="shared" si="5"/>
        <v>3.6939138664870974E-5</v>
      </c>
      <c r="G50" s="45">
        <f t="shared" si="0"/>
        <v>24538.350000000006</v>
      </c>
      <c r="H50" s="46">
        <f t="shared" si="1"/>
        <v>24538.402527860093</v>
      </c>
      <c r="I50" s="47">
        <f t="shared" si="6"/>
        <v>2.1406435268822577E-6</v>
      </c>
      <c r="J50" s="113">
        <v>563.52</v>
      </c>
      <c r="K50" s="46">
        <v>563.02</v>
      </c>
      <c r="L50" s="109">
        <f t="shared" si="8"/>
        <v>0.5</v>
      </c>
      <c r="M50" s="45">
        <v>548.11</v>
      </c>
      <c r="N50" s="46">
        <v>547.01</v>
      </c>
      <c r="O50" s="109">
        <f t="shared" si="7"/>
        <v>1.1000000000000227</v>
      </c>
      <c r="P50" s="45">
        <v>582.76</v>
      </c>
      <c r="Q50" s="46">
        <v>583.73</v>
      </c>
      <c r="R50" s="109">
        <f t="shared" si="9"/>
        <v>0.97000000000002728</v>
      </c>
      <c r="S50" s="114"/>
      <c r="T50" s="363"/>
      <c r="U50" s="217"/>
      <c r="V50" s="217"/>
      <c r="W50" s="217"/>
    </row>
    <row r="51" spans="1:23" x14ac:dyDescent="0.2">
      <c r="A51" s="22"/>
      <c r="B51" s="106"/>
      <c r="C51" s="117">
        <v>24241.78</v>
      </c>
      <c r="D51" s="45">
        <v>40</v>
      </c>
      <c r="E51" s="48">
        <v>39.961055392621397</v>
      </c>
      <c r="F51" s="47">
        <f t="shared" si="5"/>
        <v>9.7361518446503759E-4</v>
      </c>
      <c r="G51" s="45">
        <f t="shared" si="0"/>
        <v>24241.750000000007</v>
      </c>
      <c r="H51" s="46">
        <f t="shared" si="1"/>
        <v>24241.81348400862</v>
      </c>
      <c r="I51" s="47">
        <f t="shared" si="6"/>
        <v>2.6187881903005916E-6</v>
      </c>
      <c r="J51" s="113">
        <v>570.25</v>
      </c>
      <c r="K51" s="46">
        <v>570.23</v>
      </c>
      <c r="L51" s="109">
        <f t="shared" si="8"/>
        <v>1.999999999998181E-2</v>
      </c>
      <c r="M51" s="45">
        <v>522</v>
      </c>
      <c r="N51" s="46">
        <v>527.33000000000004</v>
      </c>
      <c r="O51" s="109">
        <f t="shared" si="7"/>
        <v>5.3300000000000409</v>
      </c>
      <c r="P51" s="45">
        <v>583.79999999999995</v>
      </c>
      <c r="Q51" s="46">
        <v>584.43751399999996</v>
      </c>
      <c r="R51" s="109">
        <f t="shared" si="9"/>
        <v>0.63751400000001013</v>
      </c>
      <c r="S51" s="114"/>
      <c r="T51" s="363"/>
      <c r="U51" s="217"/>
      <c r="V51" s="217"/>
      <c r="W51" s="217"/>
    </row>
    <row r="52" spans="1:23" x14ac:dyDescent="0.2">
      <c r="A52" s="22"/>
      <c r="B52" s="106"/>
      <c r="C52" s="117">
        <v>24201.78</v>
      </c>
      <c r="D52" s="45">
        <v>72.400000000000006</v>
      </c>
      <c r="E52" s="48">
        <v>72.393274619940598</v>
      </c>
      <c r="F52" s="47">
        <f t="shared" si="5"/>
        <v>9.2891989770804706E-5</v>
      </c>
      <c r="G52" s="45">
        <f t="shared" si="0"/>
        <v>24201.750000000007</v>
      </c>
      <c r="H52" s="46">
        <f t="shared" si="1"/>
        <v>24201.852428615999</v>
      </c>
      <c r="I52" s="47">
        <f t="shared" si="6"/>
        <v>4.2322813842421425E-6</v>
      </c>
      <c r="J52" s="113">
        <v>526.73</v>
      </c>
      <c r="K52" s="46">
        <v>526.41999999999996</v>
      </c>
      <c r="L52" s="109">
        <f t="shared" si="8"/>
        <v>0.31000000000005912</v>
      </c>
      <c r="M52" s="45">
        <v>501</v>
      </c>
      <c r="N52" s="46">
        <v>506.24</v>
      </c>
      <c r="O52" s="109">
        <f t="shared" si="7"/>
        <v>5.2400000000000091</v>
      </c>
      <c r="P52" s="45">
        <v>544.11</v>
      </c>
      <c r="Q52" s="46">
        <v>544.38</v>
      </c>
      <c r="R52" s="109">
        <f t="shared" si="9"/>
        <v>0.26999999999998181</v>
      </c>
      <c r="S52" s="114"/>
      <c r="T52" s="363"/>
      <c r="U52" s="217"/>
      <c r="V52" s="217"/>
      <c r="W52" s="217"/>
    </row>
    <row r="53" spans="1:23" x14ac:dyDescent="0.2">
      <c r="A53" s="22"/>
      <c r="B53" s="106"/>
      <c r="C53" s="117">
        <v>24129.38</v>
      </c>
      <c r="D53" s="45">
        <v>106.2</v>
      </c>
      <c r="E53" s="48">
        <v>106.166116452437</v>
      </c>
      <c r="F53" s="47">
        <f t="shared" si="5"/>
        <v>3.1905412017896317E-4</v>
      </c>
      <c r="G53" s="45">
        <f t="shared" si="0"/>
        <v>24129.350000000006</v>
      </c>
      <c r="H53" s="46">
        <f t="shared" si="1"/>
        <v>24129.45915399606</v>
      </c>
      <c r="I53" s="47">
        <f t="shared" si="6"/>
        <v>4.523702298309118E-6</v>
      </c>
      <c r="J53" s="113">
        <v>494.06</v>
      </c>
      <c r="K53" s="46">
        <v>491.99</v>
      </c>
      <c r="L53" s="109">
        <f t="shared" si="8"/>
        <v>2.0699999999999932</v>
      </c>
      <c r="M53" s="45">
        <v>482.23</v>
      </c>
      <c r="N53" s="46">
        <v>481.7</v>
      </c>
      <c r="O53" s="109">
        <f t="shared" si="7"/>
        <v>0.53000000000002956</v>
      </c>
      <c r="P53" s="45">
        <v>512.57000000000005</v>
      </c>
      <c r="Q53" s="46">
        <v>513.24</v>
      </c>
      <c r="R53" s="109">
        <f t="shared" si="9"/>
        <v>0.66999999999995907</v>
      </c>
      <c r="S53" s="114" t="s">
        <v>122</v>
      </c>
      <c r="T53" s="363"/>
      <c r="U53" s="217"/>
      <c r="V53" s="217"/>
      <c r="W53" s="217"/>
    </row>
    <row r="54" spans="1:23" x14ac:dyDescent="0.2">
      <c r="A54" s="22"/>
      <c r="B54" s="106"/>
      <c r="C54" s="117">
        <v>24023.18</v>
      </c>
      <c r="D54" s="45">
        <v>42.4</v>
      </c>
      <c r="E54" s="48">
        <v>42.397677464165497</v>
      </c>
      <c r="F54" s="47">
        <f t="shared" si="5"/>
        <v>5.4776788549593114E-5</v>
      </c>
      <c r="G54" s="45">
        <f t="shared" si="0"/>
        <v>24023.150000000005</v>
      </c>
      <c r="H54" s="46">
        <f t="shared" si="1"/>
        <v>24023.293037543623</v>
      </c>
      <c r="I54" s="47">
        <f t="shared" si="6"/>
        <v>5.9541543726560064E-6</v>
      </c>
      <c r="J54" s="113">
        <v>694.09</v>
      </c>
      <c r="K54" s="46">
        <v>693.13</v>
      </c>
      <c r="L54" s="109">
        <f t="shared" si="8"/>
        <v>0.96000000000003638</v>
      </c>
      <c r="M54" s="45">
        <v>540.66</v>
      </c>
      <c r="N54" s="46">
        <v>527.24</v>
      </c>
      <c r="O54" s="109">
        <f t="shared" si="7"/>
        <v>13.419999999999959</v>
      </c>
      <c r="P54" s="45">
        <v>696.22</v>
      </c>
      <c r="Q54" s="46">
        <v>694.62</v>
      </c>
      <c r="R54" s="109">
        <f t="shared" si="9"/>
        <v>1.6000000000000227</v>
      </c>
      <c r="S54" s="114" t="s">
        <v>122</v>
      </c>
      <c r="T54" s="363"/>
      <c r="U54" s="217"/>
      <c r="V54" s="217"/>
      <c r="W54" s="217"/>
    </row>
    <row r="55" spans="1:23" ht="25.5" customHeight="1" x14ac:dyDescent="0.2">
      <c r="A55" s="22"/>
      <c r="B55" s="106"/>
      <c r="C55" s="117">
        <v>23980.78</v>
      </c>
      <c r="D55" s="45">
        <v>185.9</v>
      </c>
      <c r="E55" s="48">
        <v>185.85559881923101</v>
      </c>
      <c r="F55" s="47">
        <f t="shared" si="5"/>
        <v>2.3884443662725019E-4</v>
      </c>
      <c r="G55" s="45">
        <f t="shared" si="0"/>
        <v>23980.750000000004</v>
      </c>
      <c r="H55" s="46">
        <f t="shared" si="1"/>
        <v>23980.895360079456</v>
      </c>
      <c r="I55" s="47">
        <f t="shared" si="6"/>
        <v>6.0615318309142907E-6</v>
      </c>
      <c r="J55" s="113">
        <v>384.82</v>
      </c>
      <c r="K55" s="46">
        <v>741.17</v>
      </c>
      <c r="L55" s="109">
        <f t="shared" si="8"/>
        <v>356.34999999999997</v>
      </c>
      <c r="M55" s="45">
        <v>315.45999999999998</v>
      </c>
      <c r="N55" s="46">
        <v>356</v>
      </c>
      <c r="O55" s="109">
        <f t="shared" si="7"/>
        <v>40.54000000000002</v>
      </c>
      <c r="P55" s="45">
        <v>746.05</v>
      </c>
      <c r="Q55" s="46">
        <v>746.1</v>
      </c>
      <c r="R55" s="109">
        <f t="shared" si="9"/>
        <v>5.0000000000068212E-2</v>
      </c>
      <c r="S55" s="120" t="s">
        <v>123</v>
      </c>
      <c r="T55" s="363"/>
      <c r="U55" s="217"/>
      <c r="V55" s="217"/>
      <c r="W55" s="217"/>
    </row>
    <row r="56" spans="1:23" ht="25.5" customHeight="1" x14ac:dyDescent="0.2">
      <c r="A56" s="22"/>
      <c r="B56" s="106"/>
      <c r="C56" s="117">
        <v>23794.880000000001</v>
      </c>
      <c r="D56" s="45">
        <v>146.4</v>
      </c>
      <c r="E56" s="48">
        <v>146.44406930395701</v>
      </c>
      <c r="F56" s="47">
        <f t="shared" si="5"/>
        <v>3.0101983577179858E-4</v>
      </c>
      <c r="G56" s="45">
        <f t="shared" si="0"/>
        <v>23794.850000000002</v>
      </c>
      <c r="H56" s="46">
        <f t="shared" si="1"/>
        <v>23795.039761260225</v>
      </c>
      <c r="I56" s="47">
        <f t="shared" si="6"/>
        <v>7.9748878527574618E-6</v>
      </c>
      <c r="J56" s="113">
        <v>403.06</v>
      </c>
      <c r="K56" s="46">
        <v>1009.74</v>
      </c>
      <c r="L56" s="109">
        <f t="shared" si="8"/>
        <v>606.68000000000006</v>
      </c>
      <c r="M56" s="45">
        <v>385</v>
      </c>
      <c r="N56" s="46">
        <v>385</v>
      </c>
      <c r="O56" s="109">
        <f t="shared" si="7"/>
        <v>0</v>
      </c>
      <c r="P56" s="45">
        <v>998.13</v>
      </c>
      <c r="Q56" s="46">
        <v>1011.86</v>
      </c>
      <c r="R56" s="109">
        <f t="shared" si="9"/>
        <v>13.730000000000018</v>
      </c>
      <c r="S56" s="120" t="s">
        <v>123</v>
      </c>
      <c r="T56" s="363"/>
      <c r="U56" s="217"/>
      <c r="V56" s="217"/>
      <c r="W56" s="217"/>
    </row>
    <row r="57" spans="1:23" x14ac:dyDescent="0.2">
      <c r="A57" s="22"/>
      <c r="B57" s="106"/>
      <c r="C57" s="117">
        <v>23648.48</v>
      </c>
      <c r="D57" s="45">
        <v>35.299999999999997</v>
      </c>
      <c r="E57" s="48">
        <v>35.344484711419099</v>
      </c>
      <c r="F57" s="47">
        <f t="shared" si="5"/>
        <v>1.2601901251869663E-3</v>
      </c>
      <c r="G57" s="45">
        <f t="shared" si="0"/>
        <v>23648.45</v>
      </c>
      <c r="H57" s="46">
        <f t="shared" si="1"/>
        <v>23648.595691956267</v>
      </c>
      <c r="I57" s="47">
        <f t="shared" si="6"/>
        <v>6.1607401866670131E-6</v>
      </c>
      <c r="J57" s="113">
        <v>468.65</v>
      </c>
      <c r="K57" s="46">
        <v>1215.3900000000001</v>
      </c>
      <c r="L57" s="109">
        <f t="shared" si="8"/>
        <v>746.74000000000012</v>
      </c>
      <c r="M57" s="45">
        <v>290</v>
      </c>
      <c r="N57" s="46">
        <v>290</v>
      </c>
      <c r="O57" s="109">
        <f t="shared" si="7"/>
        <v>0</v>
      </c>
      <c r="P57" s="45">
        <v>501.22</v>
      </c>
      <c r="Q57" s="46">
        <v>1216.3699999999999</v>
      </c>
      <c r="R57" s="109">
        <f t="shared" si="9"/>
        <v>715.14999999999986</v>
      </c>
      <c r="S57" s="120" t="s">
        <v>124</v>
      </c>
      <c r="T57" s="363"/>
      <c r="U57" s="217"/>
      <c r="V57" s="217"/>
      <c r="W57" s="217"/>
    </row>
    <row r="58" spans="1:23" x14ac:dyDescent="0.2">
      <c r="A58" s="22"/>
      <c r="B58" s="106"/>
      <c r="C58" s="117">
        <v>23613.18</v>
      </c>
      <c r="D58" s="45">
        <v>273.3</v>
      </c>
      <c r="E58" s="48">
        <v>273.31988212367099</v>
      </c>
      <c r="F58" s="47">
        <f t="shared" si="5"/>
        <v>7.2748348594942058E-5</v>
      </c>
      <c r="G58" s="45">
        <f t="shared" si="0"/>
        <v>23613.15</v>
      </c>
      <c r="H58" s="46">
        <f t="shared" si="1"/>
        <v>23613.251207244848</v>
      </c>
      <c r="I58" s="47">
        <f t="shared" si="6"/>
        <v>4.2860543743028501E-6</v>
      </c>
      <c r="J58" s="113">
        <v>282.39999999999998</v>
      </c>
      <c r="K58" s="46">
        <v>1247.3800000000001</v>
      </c>
      <c r="L58" s="109">
        <f t="shared" si="8"/>
        <v>964.98000000000013</v>
      </c>
      <c r="M58" s="45">
        <v>264.31</v>
      </c>
      <c r="N58" s="46">
        <v>274.8</v>
      </c>
      <c r="O58" s="109">
        <f t="shared" si="7"/>
        <v>10.490000000000009</v>
      </c>
      <c r="P58" s="45">
        <v>302.72000000000003</v>
      </c>
      <c r="Q58" s="46">
        <v>1249.7</v>
      </c>
      <c r="R58" s="109">
        <f t="shared" si="9"/>
        <v>946.98</v>
      </c>
      <c r="S58" s="120" t="s">
        <v>124</v>
      </c>
      <c r="T58" s="363"/>
      <c r="U58" s="217"/>
      <c r="V58" s="217"/>
      <c r="W58" s="217"/>
    </row>
    <row r="59" spans="1:23" x14ac:dyDescent="0.2">
      <c r="A59" s="22"/>
      <c r="B59" s="106"/>
      <c r="C59" s="117">
        <v>23339.88</v>
      </c>
      <c r="D59" s="45">
        <v>333.3</v>
      </c>
      <c r="E59" s="48">
        <v>333.34007461036401</v>
      </c>
      <c r="F59" s="47">
        <f t="shared" si="5"/>
        <v>1.20235854677464E-4</v>
      </c>
      <c r="G59" s="45">
        <f t="shared" si="0"/>
        <v>23339.850000000002</v>
      </c>
      <c r="H59" s="46">
        <f t="shared" si="1"/>
        <v>23339.931325121179</v>
      </c>
      <c r="I59" s="47">
        <f t="shared" si="6"/>
        <v>3.4843891960623097E-6</v>
      </c>
      <c r="J59" s="113">
        <v>517.57000000000005</v>
      </c>
      <c r="K59" s="46">
        <v>1510.85</v>
      </c>
      <c r="L59" s="109">
        <f t="shared" si="8"/>
        <v>993.27999999999986</v>
      </c>
      <c r="M59" s="45">
        <v>329.26</v>
      </c>
      <c r="N59" s="46">
        <v>335.15</v>
      </c>
      <c r="O59" s="109">
        <f t="shared" si="7"/>
        <v>5.8899999999999864</v>
      </c>
      <c r="P59" s="45">
        <v>598.67999999999995</v>
      </c>
      <c r="Q59" s="46">
        <v>1534.57</v>
      </c>
      <c r="R59" s="109">
        <f t="shared" si="9"/>
        <v>935.89</v>
      </c>
      <c r="S59" s="120" t="s">
        <v>124</v>
      </c>
      <c r="T59" s="363"/>
      <c r="U59" s="217"/>
      <c r="V59" s="217"/>
      <c r="W59" s="217"/>
    </row>
    <row r="60" spans="1:23" x14ac:dyDescent="0.2">
      <c r="A60" s="22"/>
      <c r="B60" s="106"/>
      <c r="C60" s="117">
        <v>23006.58</v>
      </c>
      <c r="D60" s="45">
        <v>42.57</v>
      </c>
      <c r="E60" s="48">
        <v>42.593079810840798</v>
      </c>
      <c r="F60" s="47">
        <f t="shared" si="5"/>
        <v>5.4216140100526999E-4</v>
      </c>
      <c r="G60" s="45">
        <f t="shared" si="0"/>
        <v>23006.550000000003</v>
      </c>
      <c r="H60" s="46">
        <f t="shared" si="1"/>
        <v>23006.591250510814</v>
      </c>
      <c r="I60" s="47">
        <f t="shared" si="6"/>
        <v>1.79298985769627E-6</v>
      </c>
      <c r="J60" s="113">
        <v>155.76</v>
      </c>
      <c r="K60" s="46">
        <v>153.15</v>
      </c>
      <c r="L60" s="109">
        <f t="shared" si="8"/>
        <v>2.6099999999999852</v>
      </c>
      <c r="M60" s="45">
        <v>150</v>
      </c>
      <c r="N60" s="46">
        <v>153.14603099999999</v>
      </c>
      <c r="O60" s="109">
        <f t="shared" si="7"/>
        <v>3.1460309999999936</v>
      </c>
      <c r="P60" s="45">
        <v>158.43</v>
      </c>
      <c r="Q60" s="46">
        <v>154.78</v>
      </c>
      <c r="R60" s="109">
        <f t="shared" si="9"/>
        <v>3.6500000000000057</v>
      </c>
      <c r="S60" s="120" t="s">
        <v>124</v>
      </c>
      <c r="T60" s="363"/>
      <c r="U60" s="217"/>
      <c r="V60" s="217"/>
      <c r="W60" s="217"/>
    </row>
    <row r="61" spans="1:23" ht="12" customHeight="1" x14ac:dyDescent="0.2">
      <c r="A61" s="22"/>
      <c r="B61" s="106"/>
      <c r="C61" s="117">
        <v>22963.98</v>
      </c>
      <c r="D61" s="45">
        <v>280.2</v>
      </c>
      <c r="E61" s="48">
        <v>280.158176178048</v>
      </c>
      <c r="F61" s="47">
        <f t="shared" si="5"/>
        <v>1.4926417541749615E-4</v>
      </c>
      <c r="G61" s="45">
        <f t="shared" si="0"/>
        <v>22963.980000000003</v>
      </c>
      <c r="H61" s="46">
        <f t="shared" si="1"/>
        <v>22963.998170699972</v>
      </c>
      <c r="I61" s="47">
        <f t="shared" si="6"/>
        <v>7.9126963048459231E-7</v>
      </c>
      <c r="J61" s="113">
        <v>125.16</v>
      </c>
      <c r="K61" s="46">
        <v>143.41</v>
      </c>
      <c r="L61" s="109">
        <f t="shared" si="8"/>
        <v>18.25</v>
      </c>
      <c r="M61" s="45">
        <v>125.16</v>
      </c>
      <c r="N61" s="46">
        <v>143.41</v>
      </c>
      <c r="O61" s="109">
        <f t="shared" si="7"/>
        <v>18.25</v>
      </c>
      <c r="P61" s="45">
        <v>131.1</v>
      </c>
      <c r="Q61" s="46">
        <v>149.19999999999999</v>
      </c>
      <c r="R61" s="109">
        <f t="shared" si="9"/>
        <v>18.099999999999994</v>
      </c>
      <c r="S61" s="120" t="s">
        <v>124</v>
      </c>
      <c r="T61" s="363"/>
      <c r="U61" s="217"/>
      <c r="V61" s="217"/>
      <c r="W61" s="217"/>
    </row>
    <row r="62" spans="1:23" x14ac:dyDescent="0.2">
      <c r="A62" s="22"/>
      <c r="B62" s="106"/>
      <c r="C62" s="117">
        <v>22683.78</v>
      </c>
      <c r="D62" s="45">
        <v>268.2</v>
      </c>
      <c r="E62" s="48">
        <v>268.19105687003298</v>
      </c>
      <c r="F62" s="47">
        <f t="shared" si="5"/>
        <v>3.3345003605522727E-5</v>
      </c>
      <c r="G62" s="45">
        <f t="shared" si="0"/>
        <v>22683.780000000002</v>
      </c>
      <c r="H62" s="46">
        <f t="shared" si="1"/>
        <v>22683.839994521924</v>
      </c>
      <c r="I62" s="47">
        <f t="shared" si="6"/>
        <v>2.6448203043205609E-6</v>
      </c>
      <c r="J62" s="113">
        <v>121.96</v>
      </c>
      <c r="K62" s="46">
        <v>220.01641699999999</v>
      </c>
      <c r="L62" s="109">
        <f t="shared" si="8"/>
        <v>98.056416999999996</v>
      </c>
      <c r="M62" s="45">
        <v>121.97</v>
      </c>
      <c r="N62" s="46">
        <v>143.01</v>
      </c>
      <c r="O62" s="109">
        <f t="shared" si="7"/>
        <v>21.039999999999992</v>
      </c>
      <c r="P62" s="45">
        <v>143.91999999999999</v>
      </c>
      <c r="Q62" s="46">
        <v>215.846384</v>
      </c>
      <c r="R62" s="109">
        <f t="shared" si="9"/>
        <v>71.926384000000013</v>
      </c>
      <c r="S62" s="120" t="s">
        <v>124</v>
      </c>
      <c r="T62" s="363"/>
      <c r="U62" s="217"/>
      <c r="V62" s="217"/>
      <c r="W62" s="217"/>
    </row>
    <row r="63" spans="1:23" x14ac:dyDescent="0.2">
      <c r="A63" s="22"/>
      <c r="B63" s="106"/>
      <c r="C63" s="117">
        <v>22415.58</v>
      </c>
      <c r="D63" s="45">
        <v>118.4</v>
      </c>
      <c r="E63" s="48">
        <v>118.355237330927</v>
      </c>
      <c r="F63" s="47">
        <f t="shared" si="5"/>
        <v>3.7806308338694805E-4</v>
      </c>
      <c r="G63" s="45">
        <f t="shared" si="0"/>
        <v>22415.58</v>
      </c>
      <c r="H63" s="46">
        <f t="shared" si="1"/>
        <v>22415.648937651891</v>
      </c>
      <c r="I63" s="47">
        <f t="shared" si="6"/>
        <v>3.0754346704853219E-6</v>
      </c>
      <c r="J63" s="113">
        <v>253.1</v>
      </c>
      <c r="K63" s="46">
        <v>253.2</v>
      </c>
      <c r="L63" s="109">
        <f t="shared" si="8"/>
        <v>9.9999999999994316E-2</v>
      </c>
      <c r="M63" s="45">
        <v>253.09</v>
      </c>
      <c r="N63" s="46">
        <v>253.2</v>
      </c>
      <c r="O63" s="109">
        <f t="shared" si="7"/>
        <v>0.10999999999998522</v>
      </c>
      <c r="P63" s="45">
        <v>256.86</v>
      </c>
      <c r="Q63" s="46">
        <v>257.39999999999998</v>
      </c>
      <c r="R63" s="109">
        <f t="shared" si="9"/>
        <v>0.53999999999996362</v>
      </c>
      <c r="S63" s="114"/>
      <c r="T63" s="363"/>
      <c r="U63" s="217"/>
      <c r="V63" s="217"/>
      <c r="W63" s="217"/>
    </row>
    <row r="64" spans="1:23" x14ac:dyDescent="0.2">
      <c r="A64" s="22"/>
      <c r="B64" s="106"/>
      <c r="C64" s="117">
        <v>22297.18</v>
      </c>
      <c r="D64" s="45">
        <v>42.3</v>
      </c>
      <c r="E64" s="48">
        <v>42.319297017530602</v>
      </c>
      <c r="F64" s="47">
        <f t="shared" si="5"/>
        <v>4.5619426786291939E-4</v>
      </c>
      <c r="G64" s="45">
        <f t="shared" si="0"/>
        <v>22297.18</v>
      </c>
      <c r="H64" s="46">
        <f t="shared" si="1"/>
        <v>22297.293700320963</v>
      </c>
      <c r="I64" s="47">
        <f t="shared" si="6"/>
        <v>5.0993139473209936E-6</v>
      </c>
      <c r="J64" s="113">
        <v>247.47</v>
      </c>
      <c r="K64" s="46">
        <v>246.94</v>
      </c>
      <c r="L64" s="109">
        <f t="shared" si="8"/>
        <v>0.53000000000000114</v>
      </c>
      <c r="M64" s="45">
        <v>234</v>
      </c>
      <c r="N64" s="46">
        <v>246.94</v>
      </c>
      <c r="O64" s="109">
        <f t="shared" si="7"/>
        <v>12.939999999999998</v>
      </c>
      <c r="P64" s="45">
        <v>250.63</v>
      </c>
      <c r="Q64" s="46">
        <v>249.93</v>
      </c>
      <c r="R64" s="109">
        <f t="shared" si="9"/>
        <v>0.69999999999998863</v>
      </c>
      <c r="S64" s="114"/>
      <c r="T64" s="363"/>
      <c r="U64" s="217"/>
      <c r="V64" s="217"/>
      <c r="W64" s="217"/>
    </row>
    <row r="65" spans="1:23" x14ac:dyDescent="0.2">
      <c r="A65" s="22"/>
      <c r="B65" s="106"/>
      <c r="C65" s="117">
        <v>22254.880000000001</v>
      </c>
      <c r="D65" s="45">
        <v>94.9</v>
      </c>
      <c r="E65" s="48">
        <v>94.893501520763394</v>
      </c>
      <c r="F65" s="47">
        <f t="shared" si="5"/>
        <v>6.8477125780952441E-5</v>
      </c>
      <c r="G65" s="45">
        <f t="shared" si="0"/>
        <v>22254.880000000001</v>
      </c>
      <c r="H65" s="46">
        <f t="shared" si="1"/>
        <v>22254.974403303433</v>
      </c>
      <c r="I65" s="47">
        <f t="shared" si="6"/>
        <v>4.241914736580199E-6</v>
      </c>
      <c r="J65" s="113">
        <v>234.36</v>
      </c>
      <c r="K65" s="46">
        <v>234.49941200000001</v>
      </c>
      <c r="L65" s="109">
        <f t="shared" si="8"/>
        <v>0.13941199999999299</v>
      </c>
      <c r="M65" s="45">
        <v>226</v>
      </c>
      <c r="N65" s="46">
        <v>234.49987100000001</v>
      </c>
      <c r="O65" s="109">
        <f t="shared" si="7"/>
        <v>8.4998710000000131</v>
      </c>
      <c r="P65" s="45">
        <v>238.13</v>
      </c>
      <c r="Q65" s="46">
        <v>238.59</v>
      </c>
      <c r="R65" s="109">
        <f t="shared" si="9"/>
        <v>0.46000000000000796</v>
      </c>
      <c r="S65" s="114"/>
      <c r="T65" s="363"/>
      <c r="U65" s="217"/>
      <c r="V65" s="217"/>
      <c r="W65" s="217"/>
    </row>
    <row r="66" spans="1:23" x14ac:dyDescent="0.2">
      <c r="A66" s="22"/>
      <c r="B66" s="106"/>
      <c r="C66" s="117">
        <v>22159.98</v>
      </c>
      <c r="D66" s="45">
        <v>97.1</v>
      </c>
      <c r="E66" s="48">
        <v>97.061072714605203</v>
      </c>
      <c r="F66" s="47">
        <f t="shared" si="5"/>
        <v>4.0089892270644967E-4</v>
      </c>
      <c r="G66" s="45">
        <f t="shared" si="0"/>
        <v>22159.98</v>
      </c>
      <c r="H66" s="46">
        <f t="shared" si="1"/>
        <v>22160.080901782669</v>
      </c>
      <c r="I66" s="47">
        <f t="shared" si="6"/>
        <v>4.5533336523462253E-6</v>
      </c>
      <c r="J66" s="113">
        <v>243.56</v>
      </c>
      <c r="K66" s="46">
        <v>244.46</v>
      </c>
      <c r="L66" s="109">
        <f t="shared" si="8"/>
        <v>0.90000000000000568</v>
      </c>
      <c r="M66" s="45">
        <v>243.54</v>
      </c>
      <c r="N66" s="46">
        <v>244.46</v>
      </c>
      <c r="O66" s="109">
        <f t="shared" si="7"/>
        <v>0.92000000000001592</v>
      </c>
      <c r="P66" s="45">
        <v>247.64</v>
      </c>
      <c r="Q66" s="46">
        <v>248.2</v>
      </c>
      <c r="R66" s="109">
        <f t="shared" si="9"/>
        <v>0.56000000000000227</v>
      </c>
      <c r="S66" s="114"/>
      <c r="T66" s="363"/>
      <c r="U66" s="217"/>
      <c r="V66" s="217"/>
      <c r="W66" s="217"/>
    </row>
    <row r="67" spans="1:23" x14ac:dyDescent="0.2">
      <c r="A67" s="22"/>
      <c r="B67" s="106"/>
      <c r="C67" s="117">
        <v>22062.880000000001</v>
      </c>
      <c r="D67" s="45">
        <v>44.2</v>
      </c>
      <c r="E67" s="48">
        <v>44.217142766797899</v>
      </c>
      <c r="F67" s="47">
        <f t="shared" si="5"/>
        <v>3.8784540266734169E-4</v>
      </c>
      <c r="G67" s="45">
        <f t="shared" si="0"/>
        <v>22062.880000000001</v>
      </c>
      <c r="H67" s="46">
        <f t="shared" si="1"/>
        <v>22063.019829068064</v>
      </c>
      <c r="I67" s="47">
        <f t="shared" si="6"/>
        <v>6.3377522818708343E-6</v>
      </c>
      <c r="J67" s="113">
        <v>246.39</v>
      </c>
      <c r="K67" s="46">
        <v>246.28</v>
      </c>
      <c r="L67" s="109">
        <f t="shared" si="8"/>
        <v>0.10999999999998522</v>
      </c>
      <c r="M67" s="45">
        <v>238</v>
      </c>
      <c r="N67" s="46">
        <v>246.28</v>
      </c>
      <c r="O67" s="109">
        <f t="shared" si="7"/>
        <v>8.2800000000000011</v>
      </c>
      <c r="P67" s="45">
        <v>249.37</v>
      </c>
      <c r="Q67" s="46">
        <v>249.33</v>
      </c>
      <c r="R67" s="109">
        <f t="shared" si="9"/>
        <v>3.9999999999992042E-2</v>
      </c>
      <c r="S67" s="114"/>
      <c r="T67" s="363"/>
      <c r="U67" s="217"/>
      <c r="V67" s="217"/>
      <c r="W67" s="217"/>
    </row>
    <row r="68" spans="1:23" x14ac:dyDescent="0.2">
      <c r="A68" s="22"/>
      <c r="B68" s="106"/>
      <c r="C68" s="117">
        <v>22018.68</v>
      </c>
      <c r="D68" s="45">
        <v>165.1</v>
      </c>
      <c r="E68" s="48">
        <v>165.11365172663801</v>
      </c>
      <c r="F68" s="47">
        <f t="shared" si="5"/>
        <v>8.2687623488952866E-5</v>
      </c>
      <c r="G68" s="45">
        <f t="shared" si="0"/>
        <v>22018.68</v>
      </c>
      <c r="H68" s="46">
        <f t="shared" si="1"/>
        <v>22018.802686301267</v>
      </c>
      <c r="I68" s="47">
        <f t="shared" si="6"/>
        <v>5.5719189917535772E-6</v>
      </c>
      <c r="J68" s="113">
        <v>234.6</v>
      </c>
      <c r="K68" s="46">
        <v>234.68</v>
      </c>
      <c r="L68" s="109">
        <f t="shared" si="8"/>
        <v>8.0000000000012506E-2</v>
      </c>
      <c r="M68" s="45">
        <v>225</v>
      </c>
      <c r="N68" s="46">
        <v>234.68</v>
      </c>
      <c r="O68" s="109">
        <f t="shared" si="7"/>
        <v>9.6800000000000068</v>
      </c>
      <c r="P68" s="45">
        <v>238.2</v>
      </c>
      <c r="Q68" s="46">
        <v>238.24</v>
      </c>
      <c r="R68" s="109">
        <f t="shared" si="9"/>
        <v>4.0000000000020464E-2</v>
      </c>
      <c r="S68" s="114"/>
      <c r="T68" s="363"/>
      <c r="U68" s="217"/>
      <c r="V68" s="217"/>
      <c r="W68" s="217"/>
    </row>
    <row r="69" spans="1:23" x14ac:dyDescent="0.2">
      <c r="A69" s="22"/>
      <c r="B69" s="106"/>
      <c r="C69" s="117">
        <v>21853.58</v>
      </c>
      <c r="D69" s="45">
        <v>269.3</v>
      </c>
      <c r="E69" s="48">
        <v>269.25780618943298</v>
      </c>
      <c r="F69" s="47">
        <f t="shared" si="5"/>
        <v>1.5667957878584549E-4</v>
      </c>
      <c r="G69" s="45">
        <f t="shared" si="0"/>
        <v>21853.58</v>
      </c>
      <c r="H69" s="46">
        <f t="shared" si="1"/>
        <v>21853.689034574629</v>
      </c>
      <c r="I69" s="47">
        <f t="shared" si="6"/>
        <v>4.989323242554633E-6</v>
      </c>
      <c r="J69" s="113">
        <v>254.68</v>
      </c>
      <c r="K69" s="46">
        <v>254.88</v>
      </c>
      <c r="L69" s="109">
        <f t="shared" si="8"/>
        <v>0.19999999999998863</v>
      </c>
      <c r="M69" s="45">
        <v>254.68</v>
      </c>
      <c r="N69" s="46">
        <v>254.88</v>
      </c>
      <c r="O69" s="109">
        <f t="shared" si="7"/>
        <v>0.19999999999998863</v>
      </c>
      <c r="P69" s="45">
        <v>258.61</v>
      </c>
      <c r="Q69" s="46">
        <v>258.25</v>
      </c>
      <c r="R69" s="109">
        <f t="shared" si="9"/>
        <v>0.36000000000001364</v>
      </c>
      <c r="S69" s="114"/>
      <c r="T69" s="363"/>
      <c r="U69" s="217"/>
      <c r="V69" s="217"/>
      <c r="W69" s="217"/>
    </row>
    <row r="70" spans="1:23" x14ac:dyDescent="0.2">
      <c r="A70" s="22"/>
      <c r="B70" s="106"/>
      <c r="C70" s="117">
        <v>21584.28</v>
      </c>
      <c r="D70" s="45">
        <v>37.799999999999997</v>
      </c>
      <c r="E70" s="48">
        <v>37.808396946757597</v>
      </c>
      <c r="F70" s="47">
        <f t="shared" si="5"/>
        <v>2.2214144861365526E-4</v>
      </c>
      <c r="G70" s="45">
        <f t="shared" si="0"/>
        <v>21584.280000000002</v>
      </c>
      <c r="H70" s="46">
        <f t="shared" si="1"/>
        <v>21584.431228385194</v>
      </c>
      <c r="I70" s="47">
        <f t="shared" si="6"/>
        <v>7.0064132411395974E-6</v>
      </c>
      <c r="J70" s="113">
        <v>248.81</v>
      </c>
      <c r="K70" s="46">
        <v>248.12</v>
      </c>
      <c r="L70" s="109">
        <f t="shared" si="8"/>
        <v>0.68999999999999773</v>
      </c>
      <c r="M70" s="45">
        <v>248.81</v>
      </c>
      <c r="N70" s="46">
        <v>248.12</v>
      </c>
      <c r="O70" s="109">
        <f t="shared" si="7"/>
        <v>0.68999999999999773</v>
      </c>
      <c r="P70" s="45">
        <v>252.13</v>
      </c>
      <c r="Q70" s="46">
        <v>252.3</v>
      </c>
      <c r="R70" s="109">
        <f t="shared" si="9"/>
        <v>0.17000000000001592</v>
      </c>
      <c r="S70" s="114"/>
      <c r="T70" s="363"/>
      <c r="U70" s="217"/>
      <c r="V70" s="217"/>
      <c r="W70" s="217"/>
    </row>
    <row r="71" spans="1:23" x14ac:dyDescent="0.2">
      <c r="A71" s="22"/>
      <c r="B71" s="106"/>
      <c r="C71" s="117">
        <v>21546.48</v>
      </c>
      <c r="D71" s="45">
        <v>167.3</v>
      </c>
      <c r="E71" s="48">
        <v>167.287533791822</v>
      </c>
      <c r="F71" s="47">
        <f t="shared" si="5"/>
        <v>7.4514095505184841E-5</v>
      </c>
      <c r="G71" s="45">
        <f t="shared" si="0"/>
        <v>21546.480000000003</v>
      </c>
      <c r="H71" s="46">
        <f t="shared" si="1"/>
        <v>21546.622831438435</v>
      </c>
      <c r="I71" s="47">
        <f t="shared" si="6"/>
        <v>6.6289917626249917E-6</v>
      </c>
      <c r="J71" s="113">
        <v>241.65</v>
      </c>
      <c r="K71" s="46">
        <v>241.78</v>
      </c>
      <c r="L71" s="109">
        <f t="shared" si="8"/>
        <v>0.12999999999999545</v>
      </c>
      <c r="M71" s="45">
        <v>241.64</v>
      </c>
      <c r="N71" s="46">
        <v>241.78</v>
      </c>
      <c r="O71" s="109">
        <f t="shared" si="7"/>
        <v>0.14000000000001478</v>
      </c>
      <c r="P71" s="45">
        <v>244.7</v>
      </c>
      <c r="Q71" s="46">
        <v>244.99</v>
      </c>
      <c r="R71" s="109">
        <f t="shared" si="9"/>
        <v>0.29000000000002046</v>
      </c>
      <c r="S71" s="114"/>
      <c r="T71" s="363"/>
      <c r="U71" s="217"/>
      <c r="V71" s="217"/>
      <c r="W71" s="217"/>
    </row>
    <row r="72" spans="1:23" x14ac:dyDescent="0.2">
      <c r="A72" s="22"/>
      <c r="B72" s="106"/>
      <c r="C72" s="117">
        <v>21379.18</v>
      </c>
      <c r="D72" s="45">
        <v>134.19999999999999</v>
      </c>
      <c r="E72" s="48">
        <v>134.15996649338501</v>
      </c>
      <c r="F72" s="47">
        <f t="shared" si="5"/>
        <v>2.9831226985821413E-4</v>
      </c>
      <c r="G72" s="45">
        <f t="shared" si="0"/>
        <v>21379.180000000004</v>
      </c>
      <c r="H72" s="46">
        <f t="shared" si="1"/>
        <v>21379.335297646612</v>
      </c>
      <c r="I72" s="47">
        <f t="shared" si="6"/>
        <v>7.2639664667750736E-6</v>
      </c>
      <c r="J72" s="113">
        <v>247.34</v>
      </c>
      <c r="K72" s="46">
        <v>246.06</v>
      </c>
      <c r="L72" s="109">
        <f t="shared" si="8"/>
        <v>1.2800000000000011</v>
      </c>
      <c r="M72" s="45">
        <v>247.34</v>
      </c>
      <c r="N72" s="46">
        <v>246.06</v>
      </c>
      <c r="O72" s="109">
        <f t="shared" si="7"/>
        <v>1.2800000000000011</v>
      </c>
      <c r="P72" s="45">
        <v>250.89</v>
      </c>
      <c r="Q72" s="46">
        <v>249.59</v>
      </c>
      <c r="R72" s="109">
        <f t="shared" si="9"/>
        <v>1.2999999999999829</v>
      </c>
      <c r="S72" s="114"/>
      <c r="T72" s="363"/>
      <c r="U72" s="217"/>
      <c r="V72" s="217"/>
      <c r="W72" s="217"/>
    </row>
    <row r="73" spans="1:23" x14ac:dyDescent="0.2">
      <c r="A73" s="22"/>
      <c r="B73" s="106"/>
      <c r="C73" s="117">
        <v>21244.98</v>
      </c>
      <c r="D73" s="45">
        <v>36.700000000000003</v>
      </c>
      <c r="E73" s="48">
        <v>36.7324010032196</v>
      </c>
      <c r="F73" s="47">
        <f t="shared" si="5"/>
        <v>8.828611231497252E-4</v>
      </c>
      <c r="G73" s="45">
        <f t="shared" si="0"/>
        <v>21244.980000000003</v>
      </c>
      <c r="H73" s="46">
        <f t="shared" si="1"/>
        <v>21245.175331153227</v>
      </c>
      <c r="I73" s="47">
        <f t="shared" si="6"/>
        <v>9.1942262701039112E-6</v>
      </c>
      <c r="J73" s="113">
        <v>247.86</v>
      </c>
      <c r="K73" s="46">
        <v>247.55</v>
      </c>
      <c r="L73" s="109">
        <f t="shared" si="8"/>
        <v>0.31000000000000227</v>
      </c>
      <c r="M73" s="45">
        <v>240</v>
      </c>
      <c r="N73" s="46">
        <v>247.55</v>
      </c>
      <c r="O73" s="109">
        <f t="shared" si="7"/>
        <v>7.5500000000000114</v>
      </c>
      <c r="P73" s="45">
        <v>250.7</v>
      </c>
      <c r="Q73" s="46">
        <v>250.55</v>
      </c>
      <c r="R73" s="109">
        <f t="shared" si="9"/>
        <v>0.14999999999997726</v>
      </c>
      <c r="S73" s="114"/>
      <c r="T73" s="363"/>
      <c r="U73" s="217"/>
      <c r="V73" s="217"/>
      <c r="W73" s="217"/>
    </row>
    <row r="74" spans="1:23" x14ac:dyDescent="0.2">
      <c r="A74" s="22"/>
      <c r="B74" s="106"/>
      <c r="C74" s="117">
        <v>21208.28</v>
      </c>
      <c r="D74" s="45">
        <v>261.89999999999998</v>
      </c>
      <c r="E74" s="48">
        <v>261.87022942843601</v>
      </c>
      <c r="F74" s="47">
        <f t="shared" si="5"/>
        <v>1.1367152181740448E-4</v>
      </c>
      <c r="G74" s="45">
        <f t="shared" si="0"/>
        <v>21208.280000000002</v>
      </c>
      <c r="H74" s="46">
        <f t="shared" si="1"/>
        <v>21208.442930150006</v>
      </c>
      <c r="I74" s="47">
        <f t="shared" si="6"/>
        <v>7.6823839558759488E-6</v>
      </c>
      <c r="J74" s="113">
        <v>238.65</v>
      </c>
      <c r="K74" s="46">
        <v>238.64</v>
      </c>
      <c r="L74" s="109">
        <f t="shared" si="8"/>
        <v>1.0000000000019327E-2</v>
      </c>
      <c r="M74" s="45">
        <v>230</v>
      </c>
      <c r="N74" s="46">
        <v>238.64</v>
      </c>
      <c r="O74" s="109">
        <f t="shared" si="7"/>
        <v>8.6399999999999864</v>
      </c>
      <c r="P74" s="45">
        <v>242</v>
      </c>
      <c r="Q74" s="46">
        <v>242.07</v>
      </c>
      <c r="R74" s="109">
        <f t="shared" si="9"/>
        <v>6.9999999999993179E-2</v>
      </c>
      <c r="S74" s="114"/>
      <c r="T74" s="363"/>
      <c r="U74" s="217"/>
      <c r="V74" s="217"/>
      <c r="W74" s="217"/>
    </row>
    <row r="75" spans="1:23" x14ac:dyDescent="0.2">
      <c r="A75" s="22"/>
      <c r="B75" s="106"/>
      <c r="C75" s="117">
        <v>20946.38</v>
      </c>
      <c r="D75" s="45">
        <v>216.5</v>
      </c>
      <c r="E75" s="48">
        <v>216.51638831567601</v>
      </c>
      <c r="F75" s="47">
        <f t="shared" si="5"/>
        <v>7.5696608203390525E-5</v>
      </c>
      <c r="G75" s="45">
        <f t="shared" si="0"/>
        <v>20946.38</v>
      </c>
      <c r="H75" s="46">
        <f t="shared" si="1"/>
        <v>20946.572700721568</v>
      </c>
      <c r="I75" s="47">
        <f t="shared" si="6"/>
        <v>9.1997147748656971E-6</v>
      </c>
      <c r="J75" s="113">
        <v>252.86</v>
      </c>
      <c r="K75" s="46">
        <v>252.31</v>
      </c>
      <c r="L75" s="109">
        <f t="shared" si="8"/>
        <v>0.55000000000001137</v>
      </c>
      <c r="M75" s="45">
        <v>252.86</v>
      </c>
      <c r="N75" s="46">
        <v>252.31</v>
      </c>
      <c r="O75" s="109">
        <f t="shared" si="7"/>
        <v>0.55000000000001137</v>
      </c>
      <c r="P75" s="45">
        <v>256.62</v>
      </c>
      <c r="Q75" s="46">
        <v>256.7</v>
      </c>
      <c r="R75" s="109">
        <f t="shared" si="9"/>
        <v>7.9999999999984084E-2</v>
      </c>
      <c r="S75" s="114"/>
      <c r="T75" s="363"/>
      <c r="U75" s="217"/>
      <c r="V75" s="217"/>
      <c r="W75" s="217"/>
    </row>
    <row r="76" spans="1:23" x14ac:dyDescent="0.2">
      <c r="A76" s="22"/>
      <c r="B76" s="106"/>
      <c r="C76" s="117">
        <v>20729.88</v>
      </c>
      <c r="D76" s="45">
        <v>37.1</v>
      </c>
      <c r="E76" s="48">
        <v>37.097945027087697</v>
      </c>
      <c r="F76" s="47">
        <f t="shared" si="5"/>
        <v>5.5390105452968186E-5</v>
      </c>
      <c r="G76" s="45">
        <f t="shared" ref="G76:G107" si="10">G77+D76</f>
        <v>20729.88</v>
      </c>
      <c r="H76" s="46">
        <f t="shared" ref="H76:H107" si="11">H77+E76</f>
        <v>20730.056312405894</v>
      </c>
      <c r="I76" s="47">
        <f t="shared" ref="I76:I108" si="12">ABS(1-(H76/G76))</f>
        <v>8.505230415734033E-6</v>
      </c>
      <c r="J76" s="113">
        <v>248.2</v>
      </c>
      <c r="K76" s="46">
        <v>247.99</v>
      </c>
      <c r="L76" s="109">
        <f t="shared" si="8"/>
        <v>0.20999999999997954</v>
      </c>
      <c r="M76" s="45">
        <v>238</v>
      </c>
      <c r="N76" s="46">
        <v>247.99</v>
      </c>
      <c r="O76" s="109">
        <f t="shared" si="7"/>
        <v>9.9900000000000091</v>
      </c>
      <c r="P76" s="45">
        <v>250.88</v>
      </c>
      <c r="Q76" s="46">
        <v>250.78</v>
      </c>
      <c r="R76" s="109">
        <f t="shared" ref="R76:R107" si="13">ABS(Q76-P76)</f>
        <v>9.9999999999994316E-2</v>
      </c>
      <c r="S76" s="114"/>
      <c r="T76" s="363"/>
      <c r="U76" s="217"/>
      <c r="V76" s="217"/>
      <c r="W76" s="217"/>
    </row>
    <row r="77" spans="1:23" x14ac:dyDescent="0.2">
      <c r="A77" s="22"/>
      <c r="B77" s="106"/>
      <c r="C77" s="117">
        <v>20692.78</v>
      </c>
      <c r="D77" s="45">
        <v>221.9</v>
      </c>
      <c r="E77" s="48">
        <v>221.86071396253499</v>
      </c>
      <c r="F77" s="47">
        <f t="shared" ref="F77:F107" si="14">ABS(1-(E77/D77))</f>
        <v>1.7704388222183898E-4</v>
      </c>
      <c r="G77" s="45">
        <f t="shared" si="10"/>
        <v>20692.780000000002</v>
      </c>
      <c r="H77" s="46">
        <f t="shared" si="11"/>
        <v>20692.958367378807</v>
      </c>
      <c r="I77" s="47">
        <f t="shared" si="12"/>
        <v>8.6197881001837118E-6</v>
      </c>
      <c r="J77" s="113">
        <v>238.62</v>
      </c>
      <c r="K77" s="46">
        <v>238.68</v>
      </c>
      <c r="L77" s="109">
        <f t="shared" si="8"/>
        <v>6.0000000000002274E-2</v>
      </c>
      <c r="M77" s="45">
        <v>231</v>
      </c>
      <c r="N77" s="46">
        <v>238.68</v>
      </c>
      <c r="O77" s="109">
        <f t="shared" si="7"/>
        <v>7.6800000000000068</v>
      </c>
      <c r="P77" s="45">
        <v>241.99</v>
      </c>
      <c r="Q77" s="46">
        <v>242.08</v>
      </c>
      <c r="R77" s="109">
        <f t="shared" si="13"/>
        <v>9.0000000000003411E-2</v>
      </c>
      <c r="S77" s="114"/>
      <c r="T77" s="363"/>
      <c r="U77" s="217"/>
      <c r="V77" s="217"/>
      <c r="W77" s="217"/>
    </row>
    <row r="78" spans="1:23" x14ac:dyDescent="0.2">
      <c r="A78" s="22"/>
      <c r="B78" s="106"/>
      <c r="C78" s="117">
        <v>20470.88</v>
      </c>
      <c r="D78" s="45">
        <v>223.6</v>
      </c>
      <c r="E78" s="48">
        <v>223.59657807686401</v>
      </c>
      <c r="F78" s="47">
        <f t="shared" si="14"/>
        <v>1.5303770733443578E-5</v>
      </c>
      <c r="G78" s="45">
        <f t="shared" si="10"/>
        <v>20470.88</v>
      </c>
      <c r="H78" s="46">
        <f t="shared" si="11"/>
        <v>20471.097653416273</v>
      </c>
      <c r="I78" s="47">
        <f t="shared" si="12"/>
        <v>1.063234293163795E-5</v>
      </c>
      <c r="J78" s="113">
        <v>251.18</v>
      </c>
      <c r="K78" s="46">
        <v>251.49</v>
      </c>
      <c r="L78" s="109">
        <f t="shared" si="8"/>
        <v>0.31000000000000227</v>
      </c>
      <c r="M78" s="45">
        <v>251.18</v>
      </c>
      <c r="N78" s="46">
        <v>251.49</v>
      </c>
      <c r="O78" s="109">
        <f t="shared" si="7"/>
        <v>0.31000000000000227</v>
      </c>
      <c r="P78" s="45">
        <v>254.91</v>
      </c>
      <c r="Q78" s="46">
        <v>254.97</v>
      </c>
      <c r="R78" s="109">
        <f t="shared" si="13"/>
        <v>6.0000000000002274E-2</v>
      </c>
      <c r="S78" s="114"/>
      <c r="T78" s="363"/>
      <c r="U78" s="217"/>
      <c r="V78" s="217"/>
      <c r="W78" s="217"/>
    </row>
    <row r="79" spans="1:23" x14ac:dyDescent="0.2">
      <c r="A79" s="22"/>
      <c r="B79" s="106"/>
      <c r="C79" s="117">
        <v>20247.28</v>
      </c>
      <c r="D79" s="45">
        <v>40</v>
      </c>
      <c r="E79" s="48">
        <v>39.9817292567555</v>
      </c>
      <c r="F79" s="47">
        <f t="shared" si="14"/>
        <v>4.5676858111254326E-4</v>
      </c>
      <c r="G79" s="45">
        <f t="shared" si="10"/>
        <v>20247.280000000002</v>
      </c>
      <c r="H79" s="46">
        <f t="shared" si="11"/>
        <v>20247.501075339409</v>
      </c>
      <c r="I79" s="47">
        <f t="shared" si="12"/>
        <v>1.0918767330947432E-5</v>
      </c>
      <c r="J79" s="113">
        <v>249.02</v>
      </c>
      <c r="K79" s="46">
        <v>248.71</v>
      </c>
      <c r="L79" s="109">
        <f t="shared" si="8"/>
        <v>0.31000000000000227</v>
      </c>
      <c r="M79" s="45">
        <v>240</v>
      </c>
      <c r="N79" s="46">
        <v>248.71</v>
      </c>
      <c r="O79" s="109">
        <f t="shared" si="7"/>
        <v>8.710000000000008</v>
      </c>
      <c r="P79" s="45">
        <v>251.75</v>
      </c>
      <c r="Q79" s="46">
        <v>251.46</v>
      </c>
      <c r="R79" s="109">
        <f t="shared" si="13"/>
        <v>0.28999999999999204</v>
      </c>
      <c r="S79" s="114"/>
      <c r="T79" s="363"/>
      <c r="U79" s="217"/>
      <c r="V79" s="217"/>
      <c r="W79" s="217"/>
    </row>
    <row r="80" spans="1:23" x14ac:dyDescent="0.2">
      <c r="A80" s="22"/>
      <c r="B80" s="106"/>
      <c r="C80" s="117">
        <v>20207.28</v>
      </c>
      <c r="D80" s="45">
        <v>161.69999999999999</v>
      </c>
      <c r="E80" s="48">
        <v>161.74794352640799</v>
      </c>
      <c r="F80" s="47">
        <f t="shared" si="14"/>
        <v>2.964967619543124E-4</v>
      </c>
      <c r="G80" s="45">
        <f t="shared" si="10"/>
        <v>20207.280000000002</v>
      </c>
      <c r="H80" s="46">
        <f t="shared" si="11"/>
        <v>20207.519346082652</v>
      </c>
      <c r="I80" s="47">
        <f t="shared" si="12"/>
        <v>1.1844547244788117E-5</v>
      </c>
      <c r="J80" s="113">
        <v>238.3</v>
      </c>
      <c r="K80" s="46">
        <v>238.29</v>
      </c>
      <c r="L80" s="109">
        <f t="shared" si="8"/>
        <v>1.0000000000019327E-2</v>
      </c>
      <c r="M80" s="45">
        <v>231</v>
      </c>
      <c r="N80" s="46">
        <v>238.29</v>
      </c>
      <c r="O80" s="109">
        <f t="shared" si="7"/>
        <v>7.289999999999992</v>
      </c>
      <c r="P80" s="45">
        <v>241.77</v>
      </c>
      <c r="Q80" s="46">
        <v>241.76</v>
      </c>
      <c r="R80" s="109">
        <f t="shared" si="13"/>
        <v>1.0000000000019327E-2</v>
      </c>
      <c r="S80" s="114"/>
      <c r="T80" s="363"/>
      <c r="U80" s="217"/>
      <c r="V80" s="217"/>
      <c r="W80" s="217"/>
    </row>
    <row r="81" spans="1:23" x14ac:dyDescent="0.2">
      <c r="A81" s="22"/>
      <c r="B81" s="106"/>
      <c r="C81" s="117">
        <v>20045.580000000002</v>
      </c>
      <c r="D81" s="45">
        <v>258.8</v>
      </c>
      <c r="E81" s="48">
        <v>258.77094148402699</v>
      </c>
      <c r="F81" s="47">
        <f t="shared" si="14"/>
        <v>1.1228174641819688E-4</v>
      </c>
      <c r="G81" s="45">
        <f t="shared" si="10"/>
        <v>20045.580000000002</v>
      </c>
      <c r="H81" s="46">
        <f t="shared" si="11"/>
        <v>20045.771402556245</v>
      </c>
      <c r="I81" s="47">
        <f t="shared" si="12"/>
        <v>9.5483670836671308E-6</v>
      </c>
      <c r="J81" s="113">
        <v>250.89</v>
      </c>
      <c r="K81" s="46">
        <v>250.1</v>
      </c>
      <c r="L81" s="109">
        <f t="shared" si="8"/>
        <v>0.78999999999999204</v>
      </c>
      <c r="M81" s="45">
        <v>250.86</v>
      </c>
      <c r="N81" s="46">
        <v>250.1</v>
      </c>
      <c r="O81" s="109">
        <f t="shared" si="7"/>
        <v>0.76000000000001933</v>
      </c>
      <c r="P81" s="45">
        <v>254.66</v>
      </c>
      <c r="Q81" s="46">
        <v>253.81</v>
      </c>
      <c r="R81" s="109">
        <f t="shared" si="13"/>
        <v>0.84999999999999432</v>
      </c>
      <c r="S81" s="114"/>
      <c r="T81" s="363"/>
      <c r="U81" s="217"/>
      <c r="V81" s="217"/>
      <c r="W81" s="217"/>
    </row>
    <row r="82" spans="1:23" x14ac:dyDescent="0.2">
      <c r="A82" s="22"/>
      <c r="B82" s="106"/>
      <c r="C82" s="117">
        <v>19786.78</v>
      </c>
      <c r="D82" s="45">
        <v>40.700000000000003</v>
      </c>
      <c r="E82" s="48">
        <v>40.691437077439303</v>
      </c>
      <c r="F82" s="47">
        <f t="shared" si="14"/>
        <v>2.1039121770760616E-4</v>
      </c>
      <c r="G82" s="45">
        <f t="shared" si="10"/>
        <v>19786.780000000002</v>
      </c>
      <c r="H82" s="46">
        <f t="shared" si="11"/>
        <v>19787.000461072217</v>
      </c>
      <c r="I82" s="47">
        <f t="shared" si="12"/>
        <v>1.1141836732120325E-5</v>
      </c>
      <c r="J82" s="113">
        <v>249.85</v>
      </c>
      <c r="K82" s="46">
        <v>249.89</v>
      </c>
      <c r="L82" s="109">
        <f t="shared" si="8"/>
        <v>3.9999999999992042E-2</v>
      </c>
      <c r="M82" s="45">
        <v>242</v>
      </c>
      <c r="N82" s="46">
        <v>249.89</v>
      </c>
      <c r="O82" s="109">
        <f t="shared" si="7"/>
        <v>7.8899999999999864</v>
      </c>
      <c r="P82" s="45">
        <v>252.53</v>
      </c>
      <c r="Q82" s="46">
        <v>252.51</v>
      </c>
      <c r="R82" s="109">
        <f t="shared" si="13"/>
        <v>2.0000000000010232E-2</v>
      </c>
      <c r="S82" s="114"/>
      <c r="T82" s="363"/>
      <c r="U82" s="217"/>
      <c r="V82" s="217"/>
      <c r="W82" s="217"/>
    </row>
    <row r="83" spans="1:23" x14ac:dyDescent="0.2">
      <c r="A83" s="22"/>
      <c r="B83" s="106"/>
      <c r="C83" s="117">
        <v>19746.080000000002</v>
      </c>
      <c r="D83" s="45">
        <v>124.4</v>
      </c>
      <c r="E83" s="48">
        <v>124.448419523392</v>
      </c>
      <c r="F83" s="47">
        <f t="shared" si="14"/>
        <v>3.8922446456601811E-4</v>
      </c>
      <c r="G83" s="45">
        <f t="shared" si="10"/>
        <v>19746.080000000002</v>
      </c>
      <c r="H83" s="46">
        <f t="shared" si="11"/>
        <v>19746.309023994778</v>
      </c>
      <c r="I83" s="47">
        <f t="shared" si="12"/>
        <v>1.1598453707017953E-5</v>
      </c>
      <c r="J83" s="113">
        <v>242.39</v>
      </c>
      <c r="K83" s="46">
        <v>243.1</v>
      </c>
      <c r="L83" s="109">
        <f t="shared" si="8"/>
        <v>0.71000000000000796</v>
      </c>
      <c r="M83" s="45">
        <v>236</v>
      </c>
      <c r="N83" s="46">
        <v>243.1</v>
      </c>
      <c r="O83" s="109">
        <f t="shared" si="7"/>
        <v>7.0999999999999943</v>
      </c>
      <c r="P83" s="45">
        <v>245.39</v>
      </c>
      <c r="Q83" s="46">
        <v>245.59</v>
      </c>
      <c r="R83" s="109">
        <f t="shared" si="13"/>
        <v>0.20000000000001705</v>
      </c>
      <c r="S83" s="114"/>
      <c r="T83" s="363"/>
      <c r="U83" s="217"/>
      <c r="V83" s="217"/>
      <c r="W83" s="217"/>
    </row>
    <row r="84" spans="1:23" x14ac:dyDescent="0.2">
      <c r="A84" s="22"/>
      <c r="B84" s="106"/>
      <c r="C84" s="117">
        <v>19621.68</v>
      </c>
      <c r="D84" s="45">
        <v>147.4</v>
      </c>
      <c r="E84" s="48">
        <v>147.40960052854999</v>
      </c>
      <c r="F84" s="47">
        <f t="shared" si="14"/>
        <v>6.5132486770647091E-5</v>
      </c>
      <c r="G84" s="45">
        <f t="shared" si="10"/>
        <v>19621.68</v>
      </c>
      <c r="H84" s="46">
        <f t="shared" si="11"/>
        <v>19621.860604471385</v>
      </c>
      <c r="I84" s="47">
        <f t="shared" si="12"/>
        <v>9.2043327271085218E-6</v>
      </c>
      <c r="J84" s="113">
        <v>249.85</v>
      </c>
      <c r="K84" s="46">
        <v>250.17</v>
      </c>
      <c r="L84" s="109">
        <f t="shared" si="8"/>
        <v>0.31999999999999318</v>
      </c>
      <c r="M84" s="45">
        <v>249.85</v>
      </c>
      <c r="N84" s="46">
        <v>250.17</v>
      </c>
      <c r="O84" s="109">
        <f t="shared" si="7"/>
        <v>0.31999999999999318</v>
      </c>
      <c r="P84" s="45">
        <v>253.51</v>
      </c>
      <c r="Q84" s="46">
        <v>253.03</v>
      </c>
      <c r="R84" s="109">
        <f t="shared" si="13"/>
        <v>0.47999999999998977</v>
      </c>
      <c r="S84" s="114"/>
      <c r="T84" s="363"/>
      <c r="U84" s="217"/>
      <c r="V84" s="217"/>
      <c r="W84" s="217"/>
    </row>
    <row r="85" spans="1:23" x14ac:dyDescent="0.2">
      <c r="A85" s="22"/>
      <c r="B85" s="106"/>
      <c r="C85" s="117">
        <v>19474.28</v>
      </c>
      <c r="D85" s="45">
        <v>32.700000000000003</v>
      </c>
      <c r="E85" s="48">
        <v>32.7393961301239</v>
      </c>
      <c r="F85" s="47">
        <f t="shared" si="14"/>
        <v>1.2047746215260169E-3</v>
      </c>
      <c r="G85" s="45">
        <f t="shared" si="10"/>
        <v>19474.28</v>
      </c>
      <c r="H85" s="46">
        <f t="shared" si="11"/>
        <v>19474.451003942835</v>
      </c>
      <c r="I85" s="47">
        <f t="shared" si="12"/>
        <v>8.7810148994282855E-6</v>
      </c>
      <c r="J85" s="113">
        <v>247.65</v>
      </c>
      <c r="K85" s="46">
        <v>247.47</v>
      </c>
      <c r="L85" s="109">
        <f t="shared" si="8"/>
        <v>0.18000000000000682</v>
      </c>
      <c r="M85" s="45">
        <v>234.5</v>
      </c>
      <c r="N85" s="46">
        <v>247.47</v>
      </c>
      <c r="O85" s="109">
        <f t="shared" si="7"/>
        <v>12.969999999999999</v>
      </c>
      <c r="P85" s="45">
        <v>250.47</v>
      </c>
      <c r="Q85" s="46">
        <v>250.38</v>
      </c>
      <c r="R85" s="109">
        <f t="shared" si="13"/>
        <v>9.0000000000003411E-2</v>
      </c>
      <c r="S85" s="114"/>
      <c r="T85" s="363"/>
      <c r="U85" s="217"/>
      <c r="V85" s="217"/>
      <c r="W85" s="217"/>
    </row>
    <row r="86" spans="1:23" x14ac:dyDescent="0.2">
      <c r="A86" s="22"/>
      <c r="B86" s="106"/>
      <c r="C86" s="117">
        <v>19441.580000000002</v>
      </c>
      <c r="D86" s="45">
        <v>251.3</v>
      </c>
      <c r="E86" s="48">
        <v>251.32738876080401</v>
      </c>
      <c r="F86" s="47">
        <f t="shared" si="14"/>
        <v>1.0898830403505144E-4</v>
      </c>
      <c r="G86" s="45">
        <f t="shared" si="10"/>
        <v>19441.579999999998</v>
      </c>
      <c r="H86" s="46">
        <f t="shared" si="11"/>
        <v>19441.711607812711</v>
      </c>
      <c r="I86" s="47">
        <f t="shared" si="12"/>
        <v>6.7693990257744474E-6</v>
      </c>
      <c r="J86" s="113">
        <v>239.15</v>
      </c>
      <c r="K86" s="46">
        <v>239.99</v>
      </c>
      <c r="L86" s="109">
        <f t="shared" si="8"/>
        <v>0.84000000000000341</v>
      </c>
      <c r="M86" s="45">
        <v>228</v>
      </c>
      <c r="N86" s="46">
        <v>239.99</v>
      </c>
      <c r="O86" s="109">
        <f t="shared" si="7"/>
        <v>11.990000000000009</v>
      </c>
      <c r="P86" s="45">
        <v>242.24</v>
      </c>
      <c r="Q86" s="46">
        <v>242.81</v>
      </c>
      <c r="R86" s="109">
        <f t="shared" si="13"/>
        <v>0.56999999999999318</v>
      </c>
      <c r="S86" s="114"/>
      <c r="T86" s="363"/>
      <c r="U86" s="217"/>
      <c r="V86" s="217"/>
      <c r="W86" s="217"/>
    </row>
    <row r="87" spans="1:23" x14ac:dyDescent="0.2">
      <c r="A87" s="22"/>
      <c r="B87" s="106"/>
      <c r="C87" s="117">
        <v>19190.28</v>
      </c>
      <c r="D87" s="45">
        <v>296.3</v>
      </c>
      <c r="E87" s="48">
        <v>296.30343769409501</v>
      </c>
      <c r="F87" s="47">
        <f t="shared" si="14"/>
        <v>1.1602072544691922E-5</v>
      </c>
      <c r="G87" s="45">
        <f t="shared" si="10"/>
        <v>19190.28</v>
      </c>
      <c r="H87" s="46">
        <f t="shared" si="11"/>
        <v>19190.384219051906</v>
      </c>
      <c r="I87" s="47">
        <f t="shared" si="12"/>
        <v>5.4308249752832438E-6</v>
      </c>
      <c r="J87" s="113">
        <v>253.88</v>
      </c>
      <c r="K87" s="46">
        <v>254.11</v>
      </c>
      <c r="L87" s="109">
        <f t="shared" si="8"/>
        <v>0.23000000000001819</v>
      </c>
      <c r="M87" s="45">
        <v>253.89</v>
      </c>
      <c r="N87" s="46">
        <v>254.11</v>
      </c>
      <c r="O87" s="109">
        <f t="shared" si="7"/>
        <v>0.22000000000002728</v>
      </c>
      <c r="P87" s="45">
        <v>257.64999999999998</v>
      </c>
      <c r="Q87" s="46">
        <v>258.06</v>
      </c>
      <c r="R87" s="109">
        <f t="shared" si="13"/>
        <v>0.41000000000002501</v>
      </c>
      <c r="S87" s="114"/>
      <c r="T87" s="363"/>
      <c r="U87" s="217"/>
      <c r="V87" s="217"/>
      <c r="W87" s="217"/>
    </row>
    <row r="88" spans="1:23" ht="14.25" customHeight="1" x14ac:dyDescent="0.2">
      <c r="A88" s="22"/>
      <c r="B88" s="106"/>
      <c r="C88" s="117">
        <v>18893.98</v>
      </c>
      <c r="D88" s="45">
        <v>32.4</v>
      </c>
      <c r="E88" s="48">
        <v>32.387826232874602</v>
      </c>
      <c r="F88" s="47">
        <f t="shared" si="14"/>
        <v>3.7573355325293267E-4</v>
      </c>
      <c r="G88" s="45">
        <f t="shared" si="10"/>
        <v>18893.98</v>
      </c>
      <c r="H88" s="46">
        <f t="shared" si="11"/>
        <v>18894.08078135781</v>
      </c>
      <c r="I88" s="47">
        <f t="shared" si="12"/>
        <v>5.3340459664763529E-6</v>
      </c>
      <c r="J88" s="113">
        <v>247.36</v>
      </c>
      <c r="K88" s="46">
        <v>247.13</v>
      </c>
      <c r="L88" s="109">
        <f t="shared" si="8"/>
        <v>0.23000000000001819</v>
      </c>
      <c r="M88" s="45">
        <v>236</v>
      </c>
      <c r="N88" s="46">
        <v>247.13</v>
      </c>
      <c r="O88" s="109">
        <f t="shared" si="7"/>
        <v>11.129999999999995</v>
      </c>
      <c r="P88" s="45">
        <v>250.16</v>
      </c>
      <c r="Q88" s="46">
        <v>249.89</v>
      </c>
      <c r="R88" s="109">
        <f t="shared" si="13"/>
        <v>0.27000000000001023</v>
      </c>
      <c r="S88" s="114"/>
      <c r="T88" s="363"/>
      <c r="U88" s="217"/>
      <c r="V88" s="217"/>
      <c r="W88" s="217"/>
    </row>
    <row r="89" spans="1:23" x14ac:dyDescent="0.2">
      <c r="A89" s="22"/>
      <c r="B89" s="106"/>
      <c r="C89" s="117">
        <v>18861.580000000002</v>
      </c>
      <c r="D89" s="45">
        <v>128.30000000000001</v>
      </c>
      <c r="E89" s="48">
        <v>128.33890448944999</v>
      </c>
      <c r="F89" s="47">
        <f t="shared" si="14"/>
        <v>3.0323062704584736E-4</v>
      </c>
      <c r="G89" s="45">
        <f t="shared" si="10"/>
        <v>18861.579999999998</v>
      </c>
      <c r="H89" s="46">
        <f t="shared" si="11"/>
        <v>18861.692955124934</v>
      </c>
      <c r="I89" s="47">
        <f t="shared" si="12"/>
        <v>5.9886353600546727E-6</v>
      </c>
      <c r="J89" s="113">
        <v>237.45</v>
      </c>
      <c r="K89" s="46">
        <v>237.53</v>
      </c>
      <c r="L89" s="109">
        <f t="shared" si="8"/>
        <v>8.0000000000012506E-2</v>
      </c>
      <c r="M89" s="45">
        <v>229</v>
      </c>
      <c r="N89" s="46">
        <v>237.53</v>
      </c>
      <c r="O89" s="109">
        <f t="shared" si="7"/>
        <v>8.5300000000000011</v>
      </c>
      <c r="P89" s="45">
        <v>240.9</v>
      </c>
      <c r="Q89" s="46">
        <v>240.92</v>
      </c>
      <c r="R89" s="109">
        <f t="shared" si="13"/>
        <v>1.999999999998181E-2</v>
      </c>
      <c r="S89" s="114"/>
      <c r="T89" s="363"/>
      <c r="U89" s="217"/>
      <c r="V89" s="217"/>
      <c r="W89" s="217"/>
    </row>
    <row r="90" spans="1:23" x14ac:dyDescent="0.2">
      <c r="A90" s="22"/>
      <c r="B90" s="106"/>
      <c r="C90" s="117">
        <v>18733.28</v>
      </c>
      <c r="D90" s="45">
        <v>88.4</v>
      </c>
      <c r="E90" s="48">
        <v>88.4190926412181</v>
      </c>
      <c r="F90" s="47">
        <f t="shared" si="14"/>
        <v>2.1598010427714698E-4</v>
      </c>
      <c r="G90" s="45">
        <f t="shared" si="10"/>
        <v>18733.28</v>
      </c>
      <c r="H90" s="46">
        <f t="shared" si="11"/>
        <v>18733.354050635484</v>
      </c>
      <c r="I90" s="47">
        <f t="shared" si="12"/>
        <v>3.9528921516041038E-6</v>
      </c>
      <c r="J90" s="113">
        <v>252.31</v>
      </c>
      <c r="K90" s="46">
        <v>252.01</v>
      </c>
      <c r="L90" s="109">
        <f t="shared" si="8"/>
        <v>0.30000000000001137</v>
      </c>
      <c r="M90" s="45">
        <v>252.32</v>
      </c>
      <c r="N90" s="46">
        <v>252.01</v>
      </c>
      <c r="O90" s="109">
        <f t="shared" si="7"/>
        <v>0.31000000000000227</v>
      </c>
      <c r="P90" s="45">
        <v>255.96</v>
      </c>
      <c r="Q90" s="46">
        <v>255.98</v>
      </c>
      <c r="R90" s="109">
        <f t="shared" si="13"/>
        <v>1.999999999998181E-2</v>
      </c>
      <c r="S90" s="114"/>
      <c r="T90" s="363"/>
      <c r="U90" s="217"/>
      <c r="V90" s="217"/>
      <c r="W90" s="217"/>
    </row>
    <row r="91" spans="1:23" x14ac:dyDescent="0.2">
      <c r="A91" s="22"/>
      <c r="B91" s="106"/>
      <c r="C91" s="117">
        <v>18644.88</v>
      </c>
      <c r="D91" s="45">
        <v>41.1</v>
      </c>
      <c r="E91" s="48">
        <v>41.118023919419002</v>
      </c>
      <c r="F91" s="47">
        <f t="shared" si="14"/>
        <v>4.3853818537709088E-4</v>
      </c>
      <c r="G91" s="45">
        <f t="shared" si="10"/>
        <v>18644.879999999997</v>
      </c>
      <c r="H91" s="46">
        <f t="shared" si="11"/>
        <v>18644.934957994265</v>
      </c>
      <c r="I91" s="47">
        <f t="shared" si="12"/>
        <v>2.9476185563481749E-6</v>
      </c>
      <c r="J91" s="113">
        <v>248.65</v>
      </c>
      <c r="K91" s="46">
        <v>248.57</v>
      </c>
      <c r="L91" s="109">
        <f t="shared" si="8"/>
        <v>8.0000000000012506E-2</v>
      </c>
      <c r="M91" s="45">
        <v>238</v>
      </c>
      <c r="N91" s="46">
        <v>248.57</v>
      </c>
      <c r="O91" s="109">
        <f t="shared" si="7"/>
        <v>10.569999999999993</v>
      </c>
      <c r="P91" s="45">
        <v>251.37</v>
      </c>
      <c r="Q91" s="46">
        <v>251.03</v>
      </c>
      <c r="R91" s="109">
        <f t="shared" si="13"/>
        <v>0.34000000000000341</v>
      </c>
      <c r="S91" s="114"/>
      <c r="T91" s="363"/>
      <c r="U91" s="217"/>
      <c r="V91" s="217"/>
      <c r="W91" s="217"/>
    </row>
    <row r="92" spans="1:23" x14ac:dyDescent="0.2">
      <c r="A92" s="22"/>
      <c r="B92" s="106"/>
      <c r="C92" s="117">
        <v>18603.78</v>
      </c>
      <c r="D92" s="45">
        <v>307.10000000000002</v>
      </c>
      <c r="E92" s="48">
        <v>307.06446626935798</v>
      </c>
      <c r="F92" s="47">
        <f t="shared" si="14"/>
        <v>1.1570736125710024E-4</v>
      </c>
      <c r="G92" s="45">
        <f t="shared" si="10"/>
        <v>18603.78</v>
      </c>
      <c r="H92" s="46">
        <f t="shared" si="11"/>
        <v>18603.816934074846</v>
      </c>
      <c r="I92" s="47">
        <f t="shared" si="12"/>
        <v>1.9852994848079675E-6</v>
      </c>
      <c r="J92" s="113">
        <v>235.45</v>
      </c>
      <c r="K92" s="46">
        <v>235.52</v>
      </c>
      <c r="L92" s="109">
        <f t="shared" si="8"/>
        <v>7.00000000000216E-2</v>
      </c>
      <c r="M92" s="45">
        <v>229</v>
      </c>
      <c r="N92" s="46">
        <v>235.52</v>
      </c>
      <c r="O92" s="109">
        <f t="shared" si="7"/>
        <v>6.5200000000000102</v>
      </c>
      <c r="P92" s="45">
        <v>239.17</v>
      </c>
      <c r="Q92" s="46">
        <v>239.43</v>
      </c>
      <c r="R92" s="109">
        <f t="shared" si="13"/>
        <v>0.26000000000001933</v>
      </c>
      <c r="S92" s="114"/>
      <c r="T92" s="363"/>
      <c r="U92" s="217"/>
      <c r="V92" s="217"/>
      <c r="W92" s="217"/>
    </row>
    <row r="93" spans="1:23" x14ac:dyDescent="0.2">
      <c r="A93" s="22"/>
      <c r="B93" s="106"/>
      <c r="C93" s="117">
        <v>18296.68</v>
      </c>
      <c r="D93" s="45">
        <v>329.4</v>
      </c>
      <c r="E93" s="48">
        <v>329.44872818623702</v>
      </c>
      <c r="F93" s="47">
        <f t="shared" si="14"/>
        <v>1.4793013429592605E-4</v>
      </c>
      <c r="G93" s="45">
        <f t="shared" si="10"/>
        <v>18296.68</v>
      </c>
      <c r="H93" s="46">
        <f t="shared" si="11"/>
        <v>18296.752467805487</v>
      </c>
      <c r="I93" s="47">
        <f t="shared" si="12"/>
        <v>3.9607079254100341E-6</v>
      </c>
      <c r="J93" s="113">
        <v>253.14</v>
      </c>
      <c r="K93" s="46">
        <v>253.83</v>
      </c>
      <c r="L93" s="109">
        <f t="shared" si="8"/>
        <v>0.69000000000002615</v>
      </c>
      <c r="M93" s="45">
        <v>253.13</v>
      </c>
      <c r="N93" s="46">
        <v>253.83</v>
      </c>
      <c r="O93" s="109">
        <f t="shared" si="7"/>
        <v>0.70000000000001705</v>
      </c>
      <c r="P93" s="45">
        <v>256.99</v>
      </c>
      <c r="Q93" s="46">
        <v>256.27999999999997</v>
      </c>
      <c r="R93" s="109">
        <f t="shared" si="13"/>
        <v>0.71000000000003638</v>
      </c>
      <c r="S93" s="114"/>
      <c r="T93" s="363"/>
      <c r="U93" s="217"/>
      <c r="V93" s="217"/>
      <c r="W93" s="217"/>
    </row>
    <row r="94" spans="1:23" x14ac:dyDescent="0.2">
      <c r="A94" s="22"/>
      <c r="B94" s="106"/>
      <c r="C94" s="117">
        <v>17967.28</v>
      </c>
      <c r="D94" s="45">
        <v>43.1</v>
      </c>
      <c r="E94" s="48">
        <v>43.090571767905502</v>
      </c>
      <c r="F94" s="47">
        <f t="shared" si="14"/>
        <v>2.1875248479119591E-4</v>
      </c>
      <c r="G94" s="45">
        <f t="shared" si="10"/>
        <v>17967.28</v>
      </c>
      <c r="H94" s="46">
        <f t="shared" si="11"/>
        <v>17967.303739619249</v>
      </c>
      <c r="I94" s="47">
        <f t="shared" si="12"/>
        <v>1.3212695104680705E-6</v>
      </c>
      <c r="J94" s="113">
        <v>249.92</v>
      </c>
      <c r="K94" s="46">
        <v>248.92</v>
      </c>
      <c r="L94" s="109">
        <f t="shared" si="8"/>
        <v>1</v>
      </c>
      <c r="M94" s="45">
        <v>229.18</v>
      </c>
      <c r="N94" s="46">
        <v>248.92</v>
      </c>
      <c r="O94" s="109">
        <f t="shared" si="7"/>
        <v>19.739999999999981</v>
      </c>
      <c r="P94" s="45">
        <v>252.62</v>
      </c>
      <c r="Q94" s="46">
        <v>252.63</v>
      </c>
      <c r="R94" s="109">
        <f t="shared" si="13"/>
        <v>9.9999999999909051E-3</v>
      </c>
      <c r="S94" s="114"/>
      <c r="T94" s="363"/>
      <c r="U94" s="217"/>
      <c r="V94" s="217"/>
      <c r="W94" s="217"/>
    </row>
    <row r="95" spans="1:23" x14ac:dyDescent="0.2">
      <c r="A95" s="22"/>
      <c r="B95" s="106"/>
      <c r="C95" s="117">
        <v>17924.18</v>
      </c>
      <c r="D95" s="45">
        <v>272.10000000000002</v>
      </c>
      <c r="E95" s="48">
        <v>272.05689784159603</v>
      </c>
      <c r="F95" s="47">
        <f t="shared" si="14"/>
        <v>1.5840558031610108E-4</v>
      </c>
      <c r="G95" s="45">
        <f t="shared" si="10"/>
        <v>17924.18</v>
      </c>
      <c r="H95" s="46">
        <f t="shared" si="11"/>
        <v>17924.213167851343</v>
      </c>
      <c r="I95" s="47">
        <f t="shared" si="12"/>
        <v>1.8504529268881242E-6</v>
      </c>
      <c r="J95" s="113">
        <v>234.04</v>
      </c>
      <c r="K95" s="46">
        <v>233.94</v>
      </c>
      <c r="L95" s="109">
        <f t="shared" si="8"/>
        <v>9.9999999999994316E-2</v>
      </c>
      <c r="M95" s="45">
        <v>234.04</v>
      </c>
      <c r="N95" s="46">
        <v>233.94</v>
      </c>
      <c r="O95" s="109">
        <f t="shared" si="7"/>
        <v>9.9999999999994316E-2</v>
      </c>
      <c r="P95" s="45">
        <v>237.64</v>
      </c>
      <c r="Q95" s="46">
        <v>237.69</v>
      </c>
      <c r="R95" s="109">
        <f t="shared" si="13"/>
        <v>5.0000000000011369E-2</v>
      </c>
      <c r="S95" s="114"/>
      <c r="T95" s="363"/>
      <c r="U95" s="217"/>
      <c r="V95" s="217"/>
      <c r="W95" s="217"/>
    </row>
    <row r="96" spans="1:23" x14ac:dyDescent="0.2">
      <c r="A96" s="22"/>
      <c r="B96" s="106"/>
      <c r="C96" s="117">
        <v>17652.080000000002</v>
      </c>
      <c r="D96" s="45">
        <v>243.9</v>
      </c>
      <c r="E96" s="48">
        <v>243.917663447156</v>
      </c>
      <c r="F96" s="47">
        <f t="shared" si="14"/>
        <v>7.2420857548216588E-5</v>
      </c>
      <c r="G96" s="45">
        <f t="shared" si="10"/>
        <v>17652.080000000002</v>
      </c>
      <c r="H96" s="46">
        <f t="shared" si="11"/>
        <v>17652.156270009746</v>
      </c>
      <c r="I96" s="47">
        <f t="shared" si="12"/>
        <v>4.3207378248588668E-6</v>
      </c>
      <c r="J96" s="113">
        <v>256.2</v>
      </c>
      <c r="K96" s="46">
        <v>256.39999999999998</v>
      </c>
      <c r="L96" s="109">
        <f t="shared" si="8"/>
        <v>0.19999999999998863</v>
      </c>
      <c r="M96" s="45">
        <v>256.14999999999998</v>
      </c>
      <c r="N96" s="46">
        <v>256.39999999999998</v>
      </c>
      <c r="O96" s="109">
        <f t="shared" si="7"/>
        <v>0.25</v>
      </c>
      <c r="P96" s="45">
        <v>260.82</v>
      </c>
      <c r="Q96" s="46">
        <v>260.7</v>
      </c>
      <c r="R96" s="109">
        <f t="shared" si="13"/>
        <v>0.12000000000000455</v>
      </c>
      <c r="S96" s="114"/>
      <c r="T96" s="363"/>
      <c r="U96" s="217"/>
      <c r="V96" s="217"/>
      <c r="W96" s="217"/>
    </row>
    <row r="97" spans="1:23" x14ac:dyDescent="0.2">
      <c r="A97" s="22"/>
      <c r="B97" s="106"/>
      <c r="C97" s="117">
        <v>17408.18</v>
      </c>
      <c r="D97" s="45">
        <v>341.7</v>
      </c>
      <c r="E97" s="48">
        <v>341.69709147582103</v>
      </c>
      <c r="F97" s="47">
        <f t="shared" si="14"/>
        <v>8.5119232630104236E-6</v>
      </c>
      <c r="G97" s="45">
        <f t="shared" si="10"/>
        <v>17408.18</v>
      </c>
      <c r="H97" s="46">
        <f t="shared" si="11"/>
        <v>17408.238606562591</v>
      </c>
      <c r="I97" s="47">
        <f t="shared" si="12"/>
        <v>3.3666105583307626E-6</v>
      </c>
      <c r="J97" s="113">
        <v>257.17</v>
      </c>
      <c r="K97" s="46">
        <v>256.52</v>
      </c>
      <c r="L97" s="109">
        <f t="shared" si="8"/>
        <v>0.65000000000003411</v>
      </c>
      <c r="M97" s="45">
        <v>257.13</v>
      </c>
      <c r="N97" s="46">
        <v>256.52</v>
      </c>
      <c r="O97" s="109">
        <f t="shared" si="7"/>
        <v>0.61000000000001364</v>
      </c>
      <c r="P97" s="45">
        <v>261.69</v>
      </c>
      <c r="Q97" s="46">
        <v>260.48</v>
      </c>
      <c r="R97" s="109">
        <f t="shared" si="13"/>
        <v>1.2099999999999795</v>
      </c>
      <c r="S97" s="114"/>
      <c r="T97" s="363"/>
      <c r="U97" s="217"/>
      <c r="V97" s="217"/>
      <c r="W97" s="217"/>
    </row>
    <row r="98" spans="1:23" ht="12.4" customHeight="1" x14ac:dyDescent="0.2">
      <c r="A98" s="22"/>
      <c r="B98" s="106"/>
      <c r="C98" s="117">
        <v>17066.48</v>
      </c>
      <c r="D98" s="45">
        <v>38</v>
      </c>
      <c r="E98" s="48">
        <v>37.978670002561103</v>
      </c>
      <c r="F98" s="47">
        <f t="shared" si="14"/>
        <v>5.6131572207629432E-4</v>
      </c>
      <c r="G98" s="45">
        <f t="shared" si="10"/>
        <v>17066.48</v>
      </c>
      <c r="H98" s="46">
        <f t="shared" si="11"/>
        <v>17066.54151508677</v>
      </c>
      <c r="I98" s="47">
        <f t="shared" si="12"/>
        <v>3.6044390390177483E-6</v>
      </c>
      <c r="J98" s="113">
        <v>250.54</v>
      </c>
      <c r="K98" s="46">
        <v>250.57953599999999</v>
      </c>
      <c r="L98" s="109">
        <f t="shared" si="8"/>
        <v>3.9535999999998239E-2</v>
      </c>
      <c r="M98" s="45">
        <v>238</v>
      </c>
      <c r="N98" s="46">
        <v>250.57953599999999</v>
      </c>
      <c r="O98" s="109">
        <f t="shared" si="7"/>
        <v>12.57953599999999</v>
      </c>
      <c r="P98" s="45">
        <v>253.7</v>
      </c>
      <c r="Q98" s="46">
        <v>253.73089999999999</v>
      </c>
      <c r="R98" s="109">
        <f t="shared" si="13"/>
        <v>3.0900000000002592E-2</v>
      </c>
      <c r="S98" s="114"/>
      <c r="T98" s="363"/>
      <c r="U98" s="217"/>
      <c r="V98" s="217"/>
      <c r="W98" s="217"/>
    </row>
    <row r="99" spans="1:23" x14ac:dyDescent="0.2">
      <c r="A99" s="22"/>
      <c r="B99" s="106"/>
      <c r="C99" s="117">
        <v>17028.48</v>
      </c>
      <c r="D99" s="45">
        <v>340.4</v>
      </c>
      <c r="E99" s="48">
        <v>340.43441685524999</v>
      </c>
      <c r="F99" s="47">
        <f t="shared" si="14"/>
        <v>1.0110709532917816E-4</v>
      </c>
      <c r="G99" s="45">
        <f t="shared" si="10"/>
        <v>17028.48</v>
      </c>
      <c r="H99" s="46">
        <f t="shared" si="11"/>
        <v>17028.562845084209</v>
      </c>
      <c r="I99" s="47">
        <f t="shared" si="12"/>
        <v>4.8650897912505542E-6</v>
      </c>
      <c r="J99" s="113">
        <v>239.52</v>
      </c>
      <c r="K99" s="46">
        <v>239.615397</v>
      </c>
      <c r="L99" s="109">
        <f t="shared" si="8"/>
        <v>9.5396999999991294E-2</v>
      </c>
      <c r="M99" s="45">
        <v>228</v>
      </c>
      <c r="N99" s="46">
        <v>239.61546799999999</v>
      </c>
      <c r="O99" s="109">
        <f t="shared" si="7"/>
        <v>11.615467999999993</v>
      </c>
      <c r="P99" s="45">
        <v>243.5</v>
      </c>
      <c r="Q99" s="46">
        <v>243.859444</v>
      </c>
      <c r="R99" s="109">
        <f t="shared" si="13"/>
        <v>0.35944399999999632</v>
      </c>
      <c r="S99" s="114"/>
      <c r="T99" s="363"/>
      <c r="U99" s="217"/>
      <c r="V99" s="217"/>
      <c r="W99" s="217"/>
    </row>
    <row r="100" spans="1:23" x14ac:dyDescent="0.2">
      <c r="A100" s="22"/>
      <c r="B100" s="106"/>
      <c r="C100" s="117">
        <v>16688.080000000002</v>
      </c>
      <c r="D100" s="45">
        <v>247.5</v>
      </c>
      <c r="E100" s="48">
        <v>247.52003938427299</v>
      </c>
      <c r="F100" s="47">
        <f t="shared" si="14"/>
        <v>8.0967209183713251E-5</v>
      </c>
      <c r="G100" s="45">
        <f t="shared" si="10"/>
        <v>16688.079999999998</v>
      </c>
      <c r="H100" s="46">
        <f t="shared" si="11"/>
        <v>16688.12842822896</v>
      </c>
      <c r="I100" s="47">
        <f t="shared" si="12"/>
        <v>2.9019652927342321E-6</v>
      </c>
      <c r="J100" s="113">
        <v>257.72000000000003</v>
      </c>
      <c r="K100" s="46">
        <v>257.27825300000001</v>
      </c>
      <c r="L100" s="109">
        <f t="shared" si="8"/>
        <v>0.44174700000002076</v>
      </c>
      <c r="M100" s="45">
        <v>257.68</v>
      </c>
      <c r="N100" s="46">
        <v>257.27825300000001</v>
      </c>
      <c r="O100" s="109">
        <f t="shared" si="7"/>
        <v>0.4017470000000003</v>
      </c>
      <c r="P100" s="45">
        <v>262.12</v>
      </c>
      <c r="Q100" s="46">
        <v>261.69</v>
      </c>
      <c r="R100" s="109">
        <f t="shared" si="13"/>
        <v>0.43000000000000682</v>
      </c>
      <c r="S100" s="114"/>
      <c r="T100" s="363"/>
      <c r="U100" s="217"/>
      <c r="V100" s="217"/>
      <c r="W100" s="217"/>
    </row>
    <row r="101" spans="1:23" x14ac:dyDescent="0.2">
      <c r="A101" s="22"/>
      <c r="B101" s="106"/>
      <c r="C101" s="117">
        <v>16440.580000000002</v>
      </c>
      <c r="D101" s="45">
        <v>229.2</v>
      </c>
      <c r="E101" s="48">
        <v>229.21859370796301</v>
      </c>
      <c r="F101" s="47">
        <f t="shared" si="14"/>
        <v>8.1124380292507681E-5</v>
      </c>
      <c r="G101" s="45">
        <f t="shared" si="10"/>
        <v>16440.579999999998</v>
      </c>
      <c r="H101" s="46">
        <f t="shared" si="11"/>
        <v>16440.608388844688</v>
      </c>
      <c r="I101" s="47">
        <f t="shared" si="12"/>
        <v>1.7267544509813604E-6</v>
      </c>
      <c r="J101" s="113">
        <v>256.52</v>
      </c>
      <c r="K101" s="46">
        <v>256.56</v>
      </c>
      <c r="L101" s="109">
        <f t="shared" si="8"/>
        <v>4.0000000000020464E-2</v>
      </c>
      <c r="M101" s="45">
        <v>254</v>
      </c>
      <c r="N101" s="46">
        <v>256.56</v>
      </c>
      <c r="O101" s="109">
        <f t="shared" si="7"/>
        <v>2.5600000000000023</v>
      </c>
      <c r="P101" s="45">
        <v>260.55</v>
      </c>
      <c r="Q101" s="46">
        <v>259.95</v>
      </c>
      <c r="R101" s="109">
        <f t="shared" si="13"/>
        <v>0.60000000000002274</v>
      </c>
      <c r="S101" s="114"/>
      <c r="T101" s="363"/>
      <c r="U101" s="217"/>
      <c r="V101" s="217"/>
      <c r="W101" s="217"/>
    </row>
    <row r="102" spans="1:23" x14ac:dyDescent="0.2">
      <c r="A102" s="22"/>
      <c r="B102" s="106"/>
      <c r="C102" s="117">
        <v>16211.38</v>
      </c>
      <c r="D102" s="45">
        <v>34.9</v>
      </c>
      <c r="E102" s="48">
        <v>34.898908327924701</v>
      </c>
      <c r="F102" s="47">
        <f t="shared" si="14"/>
        <v>3.1280002157463294E-5</v>
      </c>
      <c r="G102" s="45">
        <f t="shared" si="10"/>
        <v>16211.379999999997</v>
      </c>
      <c r="H102" s="46">
        <f t="shared" si="11"/>
        <v>16211.389795136725</v>
      </c>
      <c r="I102" s="47">
        <f t="shared" si="12"/>
        <v>6.0421362824136793E-7</v>
      </c>
      <c r="J102" s="113">
        <v>247.92</v>
      </c>
      <c r="K102" s="46">
        <v>247.83044899999999</v>
      </c>
      <c r="L102" s="109">
        <f t="shared" si="8"/>
        <v>8.9551000000000158E-2</v>
      </c>
      <c r="M102" s="45">
        <v>240</v>
      </c>
      <c r="N102" s="46">
        <v>247.83044899999999</v>
      </c>
      <c r="O102" s="109">
        <f t="shared" si="7"/>
        <v>7.8304489999999873</v>
      </c>
      <c r="P102" s="45">
        <v>250.68</v>
      </c>
      <c r="Q102" s="46">
        <v>250.58480299999999</v>
      </c>
      <c r="R102" s="109">
        <f t="shared" si="13"/>
        <v>9.5197000000013077E-2</v>
      </c>
      <c r="S102" s="114"/>
      <c r="T102" s="363"/>
      <c r="U102" s="217"/>
      <c r="V102" s="217"/>
      <c r="W102" s="217"/>
    </row>
    <row r="103" spans="1:23" x14ac:dyDescent="0.2">
      <c r="A103" s="22"/>
      <c r="B103" s="106"/>
      <c r="C103" s="117">
        <v>16176.48</v>
      </c>
      <c r="D103" s="45">
        <v>307.39999999999998</v>
      </c>
      <c r="E103" s="48">
        <v>307.41024268306001</v>
      </c>
      <c r="F103" s="47">
        <f t="shared" si="14"/>
        <v>3.3320374300593869E-5</v>
      </c>
      <c r="G103" s="45">
        <f t="shared" si="10"/>
        <v>16176.479999999998</v>
      </c>
      <c r="H103" s="46">
        <f t="shared" si="11"/>
        <v>16176.4908868088</v>
      </c>
      <c r="I103" s="47">
        <f t="shared" si="12"/>
        <v>6.7300233452805003E-7</v>
      </c>
      <c r="J103" s="113">
        <v>237.41</v>
      </c>
      <c r="K103" s="46">
        <v>237.49</v>
      </c>
      <c r="L103" s="109">
        <f t="shared" si="8"/>
        <v>8.0000000000012506E-2</v>
      </c>
      <c r="M103" s="45">
        <v>234</v>
      </c>
      <c r="N103" s="46">
        <v>237.49</v>
      </c>
      <c r="O103" s="109">
        <f t="shared" si="7"/>
        <v>3.4900000000000091</v>
      </c>
      <c r="P103" s="45">
        <v>241.36</v>
      </c>
      <c r="Q103" s="46">
        <v>241.46572399999999</v>
      </c>
      <c r="R103" s="109">
        <f t="shared" si="13"/>
        <v>0.10572399999998083</v>
      </c>
      <c r="S103" s="114"/>
      <c r="T103" s="363"/>
      <c r="U103" s="217"/>
      <c r="V103" s="217"/>
      <c r="W103" s="217"/>
    </row>
    <row r="104" spans="1:23" x14ac:dyDescent="0.2">
      <c r="A104" s="22"/>
      <c r="B104" s="106"/>
      <c r="C104" s="117">
        <v>15869.08</v>
      </c>
      <c r="D104" s="45">
        <v>108.6</v>
      </c>
      <c r="E104" s="48">
        <v>108.55676489855099</v>
      </c>
      <c r="F104" s="47">
        <f t="shared" si="14"/>
        <v>3.9811327301109145E-4</v>
      </c>
      <c r="G104" s="45">
        <f t="shared" si="10"/>
        <v>15869.079999999998</v>
      </c>
      <c r="H104" s="46">
        <f t="shared" si="11"/>
        <v>15869.080644125741</v>
      </c>
      <c r="I104" s="47">
        <f t="shared" si="12"/>
        <v>4.0589986483041685E-8</v>
      </c>
      <c r="J104" s="113">
        <v>269.67</v>
      </c>
      <c r="K104" s="46">
        <v>269.41401999999999</v>
      </c>
      <c r="L104" s="109">
        <f t="shared" si="8"/>
        <v>0.2559800000000223</v>
      </c>
      <c r="M104" s="45">
        <v>269.67</v>
      </c>
      <c r="N104" s="218">
        <v>269.41410000000002</v>
      </c>
      <c r="O104" s="109">
        <f t="shared" si="7"/>
        <v>0.25589999999999691</v>
      </c>
      <c r="P104" s="45">
        <v>281.56</v>
      </c>
      <c r="Q104" s="46">
        <v>281.32119699999998</v>
      </c>
      <c r="R104" s="109">
        <f t="shared" si="13"/>
        <v>0.23880300000001853</v>
      </c>
      <c r="S104" s="114"/>
      <c r="T104" s="363"/>
      <c r="U104" s="217"/>
      <c r="V104" s="217"/>
      <c r="W104" s="217"/>
    </row>
    <row r="105" spans="1:23" x14ac:dyDescent="0.2">
      <c r="A105" s="22"/>
      <c r="B105" s="106"/>
      <c r="C105" s="117">
        <v>15760.48</v>
      </c>
      <c r="D105" s="45">
        <v>272</v>
      </c>
      <c r="E105" s="48">
        <v>271.98205621104802</v>
      </c>
      <c r="F105" s="47">
        <f t="shared" si="14"/>
        <v>6.59698123234298E-5</v>
      </c>
      <c r="G105" s="45">
        <f t="shared" si="10"/>
        <v>15760.479999999998</v>
      </c>
      <c r="H105" s="46">
        <f t="shared" si="11"/>
        <v>15760.52387922719</v>
      </c>
      <c r="I105" s="47">
        <f t="shared" si="12"/>
        <v>2.784130127553297E-6</v>
      </c>
      <c r="J105" s="113">
        <v>281.02</v>
      </c>
      <c r="K105" s="46">
        <v>281.32</v>
      </c>
      <c r="L105" s="109">
        <f t="shared" si="8"/>
        <v>0.30000000000001137</v>
      </c>
      <c r="M105" s="45">
        <v>281.02</v>
      </c>
      <c r="N105" s="46">
        <v>281.32</v>
      </c>
      <c r="O105" s="109">
        <f t="shared" si="7"/>
        <v>0.30000000000001137</v>
      </c>
      <c r="P105" s="45">
        <v>301.31</v>
      </c>
      <c r="Q105" s="46">
        <v>301.60000000000002</v>
      </c>
      <c r="R105" s="109">
        <f t="shared" si="13"/>
        <v>0.29000000000002046</v>
      </c>
      <c r="S105" s="114"/>
      <c r="T105" s="363"/>
      <c r="U105" s="217"/>
      <c r="V105" s="217"/>
      <c r="W105" s="217"/>
    </row>
    <row r="106" spans="1:23" x14ac:dyDescent="0.2">
      <c r="A106" s="22"/>
      <c r="B106" s="106"/>
      <c r="C106" s="117">
        <v>15488.48</v>
      </c>
      <c r="D106" s="45">
        <v>336</v>
      </c>
      <c r="E106" s="48">
        <v>334.42042809347998</v>
      </c>
      <c r="F106" s="47">
        <f t="shared" si="14"/>
        <v>4.7011068646428678E-3</v>
      </c>
      <c r="G106" s="45">
        <f t="shared" si="10"/>
        <v>15488.479999999998</v>
      </c>
      <c r="H106" s="46">
        <f t="shared" si="11"/>
        <v>15488.541823016143</v>
      </c>
      <c r="I106" s="47">
        <f t="shared" si="12"/>
        <v>3.9915483085462E-6</v>
      </c>
      <c r="J106" s="113">
        <v>284.68</v>
      </c>
      <c r="K106" s="46">
        <v>285.14999999999998</v>
      </c>
      <c r="L106" s="109">
        <f t="shared" ref="L106:L109" si="15">ABS(K106-J106)</f>
        <v>0.46999999999997044</v>
      </c>
      <c r="M106" s="45">
        <v>284.67</v>
      </c>
      <c r="N106" s="46">
        <v>285.14999999999998</v>
      </c>
      <c r="O106" s="109">
        <f t="shared" ref="O106:O109" si="16">ABS(N106-M106)</f>
        <v>0.47999999999996135</v>
      </c>
      <c r="P106" s="45">
        <v>306.37</v>
      </c>
      <c r="Q106" s="46">
        <v>306.17</v>
      </c>
      <c r="R106" s="109">
        <f t="shared" si="13"/>
        <v>0.19999999999998863</v>
      </c>
      <c r="S106" s="114"/>
      <c r="T106" s="363"/>
      <c r="U106" s="217"/>
      <c r="V106" s="217"/>
      <c r="W106" s="217"/>
    </row>
    <row r="107" spans="1:23" x14ac:dyDescent="0.2">
      <c r="A107" s="22"/>
      <c r="B107" s="106"/>
      <c r="C107" s="117">
        <v>15152.48</v>
      </c>
      <c r="D107" s="45">
        <v>225.3</v>
      </c>
      <c r="E107" s="48">
        <v>226.972325930588</v>
      </c>
      <c r="F107" s="47">
        <f t="shared" si="14"/>
        <v>7.4226628077584955E-3</v>
      </c>
      <c r="G107" s="45">
        <f t="shared" si="10"/>
        <v>15152.479999999998</v>
      </c>
      <c r="H107" s="46">
        <f t="shared" si="11"/>
        <v>15154.121394922664</v>
      </c>
      <c r="I107" s="47">
        <f t="shared" si="12"/>
        <v>1.0832516674930126E-4</v>
      </c>
      <c r="J107" s="113">
        <v>138.05000000000001</v>
      </c>
      <c r="K107" s="46">
        <v>138.438716</v>
      </c>
      <c r="L107" s="109">
        <f t="shared" si="15"/>
        <v>0.38871599999998807</v>
      </c>
      <c r="M107" s="45">
        <v>138.05000000000001</v>
      </c>
      <c r="N107" s="46">
        <v>138.438716</v>
      </c>
      <c r="O107" s="109">
        <f t="shared" si="16"/>
        <v>0.38871599999998807</v>
      </c>
      <c r="P107" s="45">
        <v>153.78</v>
      </c>
      <c r="Q107" s="46">
        <v>153.19999999999999</v>
      </c>
      <c r="R107" s="109">
        <f t="shared" si="13"/>
        <v>0.58000000000001251</v>
      </c>
      <c r="S107" s="114"/>
      <c r="U107" s="217"/>
      <c r="V107" s="217"/>
      <c r="W107" s="217"/>
    </row>
    <row r="108" spans="1:23" x14ac:dyDescent="0.2">
      <c r="A108" s="22"/>
      <c r="B108" s="106"/>
      <c r="C108" s="117">
        <v>14927.18</v>
      </c>
      <c r="D108" s="45">
        <v>141.80000000000001</v>
      </c>
      <c r="E108" s="48">
        <v>141.769068992076</v>
      </c>
      <c r="F108" s="47">
        <f>ABS(1-(E108/D108))</f>
        <v>2.1813122654446016E-4</v>
      </c>
      <c r="G108" s="45">
        <f>G109+D108</f>
        <v>14927.179999999998</v>
      </c>
      <c r="H108" s="46">
        <f>H109+E108</f>
        <v>14927.149068992076</v>
      </c>
      <c r="I108" s="47">
        <f t="shared" si="12"/>
        <v>2.0721266791312587E-6</v>
      </c>
      <c r="J108" s="113">
        <v>130.69999999999999</v>
      </c>
      <c r="K108" s="46">
        <v>131.81</v>
      </c>
      <c r="L108" s="109">
        <f t="shared" si="15"/>
        <v>1.1100000000000136</v>
      </c>
      <c r="M108" s="45">
        <v>130.69999999999999</v>
      </c>
      <c r="N108" s="46">
        <v>131.81</v>
      </c>
      <c r="O108" s="109">
        <f t="shared" si="16"/>
        <v>1.1100000000000136</v>
      </c>
      <c r="P108" s="45">
        <v>142.62</v>
      </c>
      <c r="Q108" s="46">
        <v>143.32</v>
      </c>
      <c r="R108" s="109">
        <f t="shared" ref="R108:R109" si="17">ABS(Q108-P108)</f>
        <v>0.69999999999998863</v>
      </c>
      <c r="S108" s="114"/>
      <c r="U108" s="217"/>
      <c r="V108" s="217"/>
      <c r="W108" s="217"/>
    </row>
    <row r="109" spans="1:23" x14ac:dyDescent="0.2">
      <c r="A109" s="22"/>
      <c r="B109" s="106"/>
      <c r="C109" s="117">
        <v>14785.38</v>
      </c>
      <c r="D109" s="45"/>
      <c r="E109" s="48"/>
      <c r="F109" s="47"/>
      <c r="G109" s="45">
        <f>C109</f>
        <v>14785.38</v>
      </c>
      <c r="H109" s="46">
        <f>C109</f>
        <v>14785.38</v>
      </c>
      <c r="I109" s="47">
        <f>ABS(1-(H109/G109))</f>
        <v>0</v>
      </c>
      <c r="J109" s="113">
        <v>159.69</v>
      </c>
      <c r="K109" s="46">
        <v>159.36000000000001</v>
      </c>
      <c r="L109" s="109">
        <f t="shared" si="15"/>
        <v>0.32999999999998408</v>
      </c>
      <c r="M109" s="45">
        <v>159.66999999999999</v>
      </c>
      <c r="N109" s="46">
        <v>159.36000000000001</v>
      </c>
      <c r="O109" s="109">
        <f t="shared" si="16"/>
        <v>0.30999999999997385</v>
      </c>
      <c r="P109" s="45">
        <v>172.52</v>
      </c>
      <c r="Q109" s="46">
        <v>172.75</v>
      </c>
      <c r="R109" s="109">
        <f t="shared" si="17"/>
        <v>0.22999999999998977</v>
      </c>
      <c r="S109" s="114"/>
      <c r="U109" s="217"/>
      <c r="V109" s="217"/>
      <c r="W109" s="217"/>
    </row>
    <row r="110" spans="1:23" ht="13.5" thickBot="1" x14ac:dyDescent="0.25">
      <c r="A110" s="184" t="s">
        <v>106</v>
      </c>
      <c r="B110" s="174"/>
      <c r="C110" s="174"/>
      <c r="D110" s="174"/>
      <c r="E110" s="174"/>
      <c r="F110" s="174"/>
      <c r="G110" s="174"/>
      <c r="H110" s="174"/>
      <c r="I110" s="174"/>
      <c r="J110" s="174"/>
      <c r="K110" s="174"/>
      <c r="L110" s="174"/>
      <c r="M110" s="174"/>
      <c r="N110" s="174"/>
      <c r="O110" s="174"/>
      <c r="P110" s="174"/>
      <c r="Q110" s="174"/>
      <c r="R110" s="175"/>
      <c r="S110" s="121"/>
    </row>
    <row r="111" spans="1:23" ht="13.5" thickBot="1" x14ac:dyDescent="0.25">
      <c r="A111" s="110"/>
      <c r="B111" s="111"/>
      <c r="C111" s="112"/>
      <c r="D111" s="364" t="s">
        <v>17</v>
      </c>
      <c r="E111" s="365"/>
      <c r="F111" s="366"/>
      <c r="G111" s="364" t="s">
        <v>17</v>
      </c>
      <c r="H111" s="365"/>
      <c r="I111" s="366"/>
      <c r="J111" s="176" t="s">
        <v>23</v>
      </c>
      <c r="K111" s="177"/>
      <c r="L111" s="177"/>
      <c r="M111" s="177"/>
      <c r="N111" s="177"/>
      <c r="O111" s="177"/>
      <c r="P111" s="177"/>
      <c r="Q111" s="177"/>
      <c r="R111" s="178"/>
    </row>
  </sheetData>
  <mergeCells count="24">
    <mergeCell ref="P8:R8"/>
    <mergeCell ref="S10:S11"/>
    <mergeCell ref="P10:R10"/>
    <mergeCell ref="A1:C4"/>
    <mergeCell ref="A7:C7"/>
    <mergeCell ref="D7:J7"/>
    <mergeCell ref="D8:J8"/>
    <mergeCell ref="A8:C8"/>
    <mergeCell ref="D1:S1"/>
    <mergeCell ref="F2:S2"/>
    <mergeCell ref="F3:S3"/>
    <mergeCell ref="F4:S4"/>
    <mergeCell ref="D2:E2"/>
    <mergeCell ref="D3:E3"/>
    <mergeCell ref="D4:E4"/>
    <mergeCell ref="M10:O10"/>
    <mergeCell ref="J10:L10"/>
    <mergeCell ref="T27:T106"/>
    <mergeCell ref="G111:I111"/>
    <mergeCell ref="D10:F10"/>
    <mergeCell ref="D111:F111"/>
    <mergeCell ref="G10:I10"/>
    <mergeCell ref="T12:T16"/>
    <mergeCell ref="T17:T26"/>
  </mergeCells>
  <phoneticPr fontId="0" type="noConversion"/>
  <conditionalFormatting sqref="F12:F109 I12:I109">
    <cfRule type="cellIs" dxfId="2" priority="2" stopIfTrue="1" operator="greaterThan">
      <formula>0.05</formula>
    </cfRule>
  </conditionalFormatting>
  <conditionalFormatting sqref="L12:L109 R12:R109">
    <cfRule type="cellIs" dxfId="1" priority="4" stopIfTrue="1" operator="greaterThanOrEqual">
      <formula>25</formula>
    </cfRule>
  </conditionalFormatting>
  <conditionalFormatting sqref="O12:O109">
    <cfRule type="cellIs" dxfId="0" priority="3" stopIfTrue="1" operator="greaterThanOrEqual">
      <formula>25</formula>
    </cfRule>
  </conditionalFormatting>
  <hyperlinks>
    <hyperlink ref="J5" r:id="rId1" xr:uid="{00000000-0004-0000-0200-000000000000}"/>
  </hyperlinks>
  <printOptions horizontalCentered="1" verticalCentered="1"/>
  <pageMargins left="0.25" right="0.25" top="0.62" bottom="0.5" header="0.4" footer="0.25"/>
  <pageSetup paperSize="17" orientation="landscape" cellComments="asDisplayed" r:id="rId2"/>
  <headerFooter alignWithMargins="0">
    <oddFooter>&amp;R&amp;8&amp;Z&amp;F&amp;L&amp;8&amp;D  &amp;T</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Documentation Checklist</vt:lpstr>
      <vt:lpstr>BFE Compar Table</vt:lpstr>
      <vt:lpstr>BFE Compar Table - Interpolated</vt:lpstr>
      <vt:lpstr>Agreement Table</vt:lpstr>
    </vt:vector>
  </TitlesOfParts>
  <Company>Urban Drainage and Flood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GIS2</dc:creator>
  <cp:lastModifiedBy>Noah Olson</cp:lastModifiedBy>
  <cp:lastPrinted>2024-05-30T21:55:45Z</cp:lastPrinted>
  <dcterms:created xsi:type="dcterms:W3CDTF">2006-05-09T14:40:07Z</dcterms:created>
  <dcterms:modified xsi:type="dcterms:W3CDTF">2025-04-15T18:08:41Z</dcterms:modified>
</cp:coreProperties>
</file>